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030" windowHeight="9075" activeTab="0"/>
  </bookViews>
  <sheets>
    <sheet name="Stocker Calculations" sheetId="1" r:id="rId1"/>
  </sheets>
  <definedNames>
    <definedName name="_xlnm.Print_Area" localSheetId="0">'Stocker Calculations'!$O$147:$R$191</definedName>
  </definedNames>
  <calcPr fullCalcOnLoad="1"/>
</workbook>
</file>

<file path=xl/sharedStrings.xml><?xml version="1.0" encoding="utf-8"?>
<sst xmlns="http://schemas.openxmlformats.org/spreadsheetml/2006/main" count="316" uniqueCount="146">
  <si>
    <t>Price paid per pound of feed</t>
  </si>
  <si>
    <t>Processing product cost per head</t>
  </si>
  <si>
    <t>Return to labor and management</t>
  </si>
  <si>
    <t>Chage 50% interest rate on feed, yardage, cost of treatment, labor, and cost of re-treatment</t>
  </si>
  <si>
    <t>Weight in pounds at purchase</t>
  </si>
  <si>
    <t>Price received at sale</t>
  </si>
  <si>
    <t>Sale weight in pounds (w/o shrink)</t>
  </si>
  <si>
    <t>Percent shrink</t>
  </si>
  <si>
    <t>Price paid per pound at purchase ($)</t>
  </si>
  <si>
    <t>Interst rate (%)</t>
  </si>
  <si>
    <t>Shrunk sale weight (CALCULATED)</t>
  </si>
  <si>
    <t>Cost of interest (CALCULATED)</t>
  </si>
  <si>
    <t>Costs</t>
  </si>
  <si>
    <t>Reciepts</t>
  </si>
  <si>
    <t>Sales or commission fees</t>
  </si>
  <si>
    <t>Cost of treatment /head /treatment</t>
  </si>
  <si>
    <t>Cost of re-treatment /head /re-treatment</t>
  </si>
  <si>
    <t>Labor costs per head (non-owner labor)</t>
  </si>
  <si>
    <t>Calculate for Return to labor and managment</t>
  </si>
  <si>
    <t>Stocker Cattle Calculations</t>
  </si>
  <si>
    <t>Price paid per pound ($)</t>
  </si>
  <si>
    <t>Purchase weight (Lbs.)</t>
  </si>
  <si>
    <t>Please Answer All of the Following Questions (Per Head Basis)</t>
  </si>
  <si>
    <t>Cost of treatment (entire cost of multiple-day treatment)</t>
  </si>
  <si>
    <t>Price received at sale ($/Lbs.)</t>
  </si>
  <si>
    <t>Unshrunk sale weight (Lbs.)</t>
  </si>
  <si>
    <t>Percent shrink (%)</t>
  </si>
  <si>
    <t>Given the Above Variables</t>
  </si>
  <si>
    <t>Cost of interest</t>
  </si>
  <si>
    <t>Sales or commission fees ($)</t>
  </si>
  <si>
    <t>Yardage per day ($)</t>
  </si>
  <si>
    <t>Morbidity Rate - during confinement period (%)</t>
  </si>
  <si>
    <t>Mortality rate - during confinement period (%)</t>
  </si>
  <si>
    <t>Grazing Period</t>
  </si>
  <si>
    <t>Weight at end of confinement period</t>
  </si>
  <si>
    <t>Number of days in confinement</t>
  </si>
  <si>
    <t>Number of days grazing</t>
  </si>
  <si>
    <t>Pasture rent per day ($)</t>
  </si>
  <si>
    <t>Morbidity Rate - during grazing period (%)</t>
  </si>
  <si>
    <t>Re-pull rate - during grazing period (%)</t>
  </si>
  <si>
    <t>Mortality rate - during grazing period (%)</t>
  </si>
  <si>
    <t>Weight at end of confinement period (Lbs.)</t>
  </si>
  <si>
    <t>Total Days Owned</t>
  </si>
  <si>
    <t>Total pounds of feed consumed during confinement (CALCULATED - Deads out)</t>
  </si>
  <si>
    <t>Total pounds of feed consumed during confinement (CALCULATED - Deads in)</t>
  </si>
  <si>
    <t>Pasture rent per head per day</t>
  </si>
  <si>
    <t>Yardage per head per day</t>
  </si>
  <si>
    <t>Morbidity rate - in confinement</t>
  </si>
  <si>
    <t>Morbidity rate - grazing</t>
  </si>
  <si>
    <t>Mortality rate - in confinement</t>
  </si>
  <si>
    <t>Mortality rate - grazing</t>
  </si>
  <si>
    <t>Re-pull rate during confinement (# pulled 2 or more times/# initial pulls)</t>
  </si>
  <si>
    <t>Re-pull rate during grazing</t>
  </si>
  <si>
    <t>Average Daily Gain -confinement period (CALCULATED - Actual Weights, Deads in; lbs per day)</t>
  </si>
  <si>
    <t>Average Daily Gain - confinement period (CALCULATED - Actual Weights, Deads out; lbs. per day)</t>
  </si>
  <si>
    <t>Pounds of diet fed daily - confinement period</t>
  </si>
  <si>
    <t>Total pounds of supplement consumed - grazing (deads out)</t>
  </si>
  <si>
    <t>Total pounds of supplement consumed - grazing (deads in)</t>
  </si>
  <si>
    <t>Pounds of supplement while grazing (Daily)</t>
  </si>
  <si>
    <t>Price of grazing supplement</t>
  </si>
  <si>
    <t>Mortality rate - entire period</t>
  </si>
  <si>
    <t>Cost of Gain - confinement period (CALCULATED: $ / lbs. gain)</t>
  </si>
  <si>
    <t>Cost of Gain - grazing period (CALCULATED: $ / lbs. gain)</t>
  </si>
  <si>
    <t>Cost of Gain - entire period (CALCULATED: $/lbs. gain)</t>
  </si>
  <si>
    <t>To figure cost of gain - all of processing costs were assigned to the confinement period, all of sales commission costs were assigned to grazing period. Labor, overhead and interest costs were prorated between the two periods and the rest of the costs were assigned during the period they occured.</t>
  </si>
  <si>
    <t>Deads were considered to have occurred 1/2-way through period</t>
  </si>
  <si>
    <t>Appropriate purchase price</t>
  </si>
  <si>
    <t>Calculate for Appropriate Purchase Price</t>
  </si>
  <si>
    <t>Pounds of Supplement - grazing period</t>
  </si>
  <si>
    <t>Cost of Gain - confinement period (Deads In)</t>
  </si>
  <si>
    <t>Cost of Gain - grazing period (Deads In)</t>
  </si>
  <si>
    <t>Cost of Gain - entire period (Deads In)</t>
  </si>
  <si>
    <t>Break Even Sales Price</t>
  </si>
  <si>
    <t>Feed Efficiency - confinement period (Deads out)</t>
  </si>
  <si>
    <t>Feed Efficiency - confinement period (Deads in)</t>
  </si>
  <si>
    <t>Return to ownership and management</t>
  </si>
  <si>
    <t>Average daily Gain - entire period - (Pay Weights; Deads out)</t>
  </si>
  <si>
    <t>Average Daily Gain - entire period - (Pay Weights; Deads in)</t>
  </si>
  <si>
    <t>Average Daily Gain - entire period - (:Pay Weights; Deads in)</t>
  </si>
  <si>
    <t>Hired labor cost per head ($)</t>
  </si>
  <si>
    <t>Annual interest rate (i.e.10)</t>
  </si>
  <si>
    <t>Price paid per pound of diet as fed ($)</t>
  </si>
  <si>
    <t>Pounds of diet fed daily, as fed</t>
  </si>
  <si>
    <t>Cost for processing products ($ for vaccines, implants, dewormers, tags)</t>
  </si>
  <si>
    <t>Re-pull rate - during confinement period (% of original pulls)</t>
  </si>
  <si>
    <t>Amount of supplement fed daily, as fed (Lbs.)</t>
  </si>
  <si>
    <t>Pasture rent per head per day ($)</t>
  </si>
  <si>
    <t>Percent pencil shrink (%)</t>
  </si>
  <si>
    <t>Charge 50% interest rate on feed, yardage, cost of treatment, labor, and cost of re-treatment</t>
  </si>
  <si>
    <t xml:space="preserve">Hired labor costs per head </t>
  </si>
  <si>
    <t>Price paid per pound of diet, as fed</t>
  </si>
  <si>
    <t>Pounds of diet fed daily (as fed) - confinement period</t>
  </si>
  <si>
    <t>Total pounds of diet consumed during confinement (CALCULATED - Deads out)</t>
  </si>
  <si>
    <t>Total pounds of diet consumed during confinement (CALCULATED - Deads in)</t>
  </si>
  <si>
    <t>Shrunk sale weight (i.e. payweight; CALCULATED)</t>
  </si>
  <si>
    <t>Cost of Gain - confinement period (deads out, $ / lbs. gain)</t>
  </si>
  <si>
    <t>Cost of Gain - grazing period (deads out: $ / lbs. gain)</t>
  </si>
  <si>
    <t>Cost of Gain - entire period (deads out: $/lbs. gain)</t>
  </si>
  <si>
    <t>To figure cost of gain - all of processing costs were assigned to the confinement period, all of sales commission costs were assigned to grazing period. Labor and interest costs were prorated between the two periods and the rest of the costs were assigned during the period they occured.</t>
  </si>
  <si>
    <t>Deads were considered to be distributed evenly</t>
  </si>
  <si>
    <t>Pounds of Diet, as fed - confinement period</t>
  </si>
  <si>
    <t>Pounds of Supplement, as fed - grazing period</t>
  </si>
  <si>
    <t>To calculate Purchase Price</t>
  </si>
  <si>
    <t>Cost of interest (estimate)</t>
  </si>
  <si>
    <t>To calculate Sale Price to Attain Given Return</t>
  </si>
  <si>
    <t>Sale Price to Attain Given Return</t>
  </si>
  <si>
    <t>Deads were considered to be evenly distributed</t>
  </si>
  <si>
    <t>Bob L. Larson, DVM, PhD</t>
  </si>
  <si>
    <t>The purpose of this program is to estimate potential returns to owning stocker cattle. What do you want to determine?</t>
  </si>
  <si>
    <t>To calculate Return to Ownership and Management</t>
  </si>
  <si>
    <t>Calculate Sale Price to Attain Given Return</t>
  </si>
  <si>
    <t>Price paid per pound of diet as fed($)</t>
  </si>
  <si>
    <t>Price paid per pound of supplement as fed ($)</t>
  </si>
  <si>
    <t>Re-pull rate - during confinement period (% of orignial pulls)</t>
  </si>
  <si>
    <t>Price paid per pound of supplement, as fed ($)</t>
  </si>
  <si>
    <t>Annual interest rate (i.e. 10)</t>
  </si>
  <si>
    <t>Annual intereste rate (i.e. 10)</t>
  </si>
  <si>
    <t>Pounds of Feed, as fed - confinement period</t>
  </si>
  <si>
    <r>
      <t>Cost of interest</t>
    </r>
    <r>
      <rPr>
        <sz val="10"/>
        <color indexed="52"/>
        <rFont val="Arial"/>
        <family val="2"/>
      </rPr>
      <t xml:space="preserve"> (Estimated)</t>
    </r>
  </si>
  <si>
    <t>Average Daily Gain - grazing period (Shrunk wt. Deads in)</t>
  </si>
  <si>
    <t>Average Daily Gain - grazing period (Shrunk wt. Deads out)</t>
  </si>
  <si>
    <t>Pounds of Feed, as fed - grazing period</t>
  </si>
  <si>
    <t>Trucking fee - arrival</t>
  </si>
  <si>
    <t>Trucking - departure</t>
  </si>
  <si>
    <t>Trucking fee - arrival ($)</t>
  </si>
  <si>
    <t>Trucking fee - departure ($)</t>
  </si>
  <si>
    <t>Trucking fee - departure</t>
  </si>
  <si>
    <t>Charge 100% interest on price paid, trucking in and processing cost</t>
  </si>
  <si>
    <t>Charge 100% interest on price paid, trucking in, and processing cost</t>
  </si>
  <si>
    <t>Trucking - arrival</t>
  </si>
  <si>
    <t>Confinement Period - if no confinement period, still enter vaules for lines 20, 22, 24 &amp; 26</t>
  </si>
  <si>
    <t>Confinement Period - if no confinement period, still enter values for lines 86, 88, 90, &amp; 92</t>
  </si>
  <si>
    <t>Confinement Period - if no confinement period, still enter values for 160, 162, 164, &amp; 166</t>
  </si>
  <si>
    <t>shrunk sale weight (deads included)</t>
  </si>
  <si>
    <t>Cost of re-pull treatment ($)</t>
  </si>
  <si>
    <t>Cost of Gain - confinement period (Deads Accounted For; w/o RTM)</t>
  </si>
  <si>
    <t>Cost of Gain - grazing period (Shrunk weight; Deads Accounted For; w/o RTM)</t>
  </si>
  <si>
    <t>Cost of Gain - entire period (Shrunk weight; Deads Accounted For; w/o RTM)</t>
  </si>
  <si>
    <r>
      <t xml:space="preserve">Feed Efficiency - confinement period </t>
    </r>
    <r>
      <rPr>
        <sz val="9"/>
        <rFont val="Arial"/>
        <family val="2"/>
      </rPr>
      <t xml:space="preserve">(Lbs. feed / 1 Lbs. gain - </t>
    </r>
    <r>
      <rPr>
        <sz val="8"/>
        <rFont val="Arial"/>
        <family val="2"/>
      </rPr>
      <t>Deads Accounted For</t>
    </r>
    <r>
      <rPr>
        <sz val="9"/>
        <rFont val="Arial"/>
        <family val="2"/>
      </rPr>
      <t>)</t>
    </r>
  </si>
  <si>
    <t>Average Daily Gain - confinement period (Deads In)</t>
  </si>
  <si>
    <t>Average Daily Gain - grazing period (Shrunk Wt./ Deads In)</t>
  </si>
  <si>
    <t>Average Daily Gain - entire period (Pay Wt. / Deads In)</t>
  </si>
  <si>
    <t>Average Daily Gain - grazing period (Shrunk Wt. / Deads In)</t>
  </si>
  <si>
    <t>Kansas State University</t>
  </si>
  <si>
    <t>College of Veterinary Medicine</t>
  </si>
  <si>
    <t>Kansas State University, College of Veterinary Medicine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</si>
</sst>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000"/>
    <numFmt numFmtId="167" formatCode="&quot;$&quot;#,##0.0000"/>
    <numFmt numFmtId="168" formatCode="0.000"/>
  </numFmts>
  <fonts count="17">
    <font>
      <sz val="10"/>
      <name val="Arial"/>
      <family val="0"/>
    </font>
    <font>
      <sz val="14"/>
      <name val="Arial"/>
      <family val="2"/>
    </font>
    <font>
      <sz val="34"/>
      <name val="Arial"/>
      <family val="2"/>
    </font>
    <font>
      <sz val="16"/>
      <name val="Arial"/>
      <family val="2"/>
    </font>
    <font>
      <sz val="12"/>
      <name val="Arial"/>
      <family val="2"/>
    </font>
    <font>
      <sz val="16"/>
      <color indexed="12"/>
      <name val="Arial"/>
      <family val="2"/>
    </font>
    <font>
      <sz val="14"/>
      <color indexed="8"/>
      <name val="Arial"/>
      <family val="2"/>
    </font>
    <font>
      <sz val="12"/>
      <color indexed="48"/>
      <name val="Arial"/>
      <family val="2"/>
    </font>
    <font>
      <b/>
      <i/>
      <sz val="13"/>
      <name val="Arial"/>
      <family val="2"/>
    </font>
    <font>
      <b/>
      <i/>
      <sz val="12"/>
      <color indexed="48"/>
      <name val="Arial"/>
      <family val="2"/>
    </font>
    <font>
      <b/>
      <sz val="10"/>
      <name val="Arial"/>
      <family val="2"/>
    </font>
    <font>
      <sz val="10"/>
      <color indexed="20"/>
      <name val="Arial"/>
      <family val="2"/>
    </font>
    <font>
      <sz val="10"/>
      <color indexed="52"/>
      <name val="Arial"/>
      <family val="2"/>
    </font>
    <font>
      <sz val="9"/>
      <name val="Arial"/>
      <family val="2"/>
    </font>
    <font>
      <sz val="8"/>
      <name val="Arial"/>
      <family val="2"/>
    </font>
    <font>
      <sz val="20"/>
      <color indexed="20"/>
      <name val="Arial"/>
      <family val="2"/>
    </font>
    <font>
      <sz val="18"/>
      <color indexed="20"/>
      <name val="Arial"/>
      <family val="2"/>
    </font>
  </fonts>
  <fills count="7">
    <fill>
      <patternFill/>
    </fill>
    <fill>
      <patternFill patternType="gray125"/>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7">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164" fontId="0" fillId="0" borderId="0" xfId="0" applyNumberFormat="1" applyAlignment="1">
      <alignment/>
    </xf>
    <xf numFmtId="164" fontId="0" fillId="0" borderId="0" xfId="0" applyNumberFormat="1" applyAlignment="1">
      <alignment horizontal="center"/>
    </xf>
    <xf numFmtId="0" fontId="0" fillId="0" borderId="0" xfId="0" applyAlignment="1">
      <alignment horizontal="center"/>
    </xf>
    <xf numFmtId="10" fontId="0" fillId="0" borderId="0" xfId="0" applyNumberFormat="1" applyAlignment="1">
      <alignment horizontal="center"/>
    </xf>
    <xf numFmtId="0" fontId="0" fillId="0" borderId="0" xfId="0" applyAlignment="1">
      <alignment wrapText="1"/>
    </xf>
    <xf numFmtId="2" fontId="0" fillId="0" borderId="0" xfId="0" applyNumberFormat="1" applyAlignment="1">
      <alignment horizontal="center"/>
    </xf>
    <xf numFmtId="0" fontId="0" fillId="2" borderId="0" xfId="0" applyFill="1" applyAlignment="1">
      <alignment horizontal="center"/>
    </xf>
    <xf numFmtId="2" fontId="0" fillId="2" borderId="0" xfId="0" applyNumberFormat="1" applyFill="1" applyAlignment="1">
      <alignment horizontal="center"/>
    </xf>
    <xf numFmtId="164" fontId="0" fillId="2" borderId="0" xfId="0" applyNumberFormat="1" applyFill="1" applyAlignment="1">
      <alignment horizontal="center"/>
    </xf>
    <xf numFmtId="164" fontId="0" fillId="3" borderId="0" xfId="0" applyNumberFormat="1" applyFill="1" applyAlignment="1">
      <alignment horizontal="center"/>
    </xf>
    <xf numFmtId="164" fontId="0" fillId="0" borderId="0" xfId="0" applyNumberFormat="1" applyFill="1" applyAlignment="1">
      <alignment horizontal="center"/>
    </xf>
    <xf numFmtId="0" fontId="1" fillId="0" borderId="0" xfId="0" applyFont="1" applyAlignment="1">
      <alignment/>
    </xf>
    <xf numFmtId="4" fontId="0" fillId="0" borderId="0" xfId="0" applyNumberFormat="1" applyAlignment="1">
      <alignment horizontal="center"/>
    </xf>
    <xf numFmtId="3" fontId="0" fillId="0" borderId="0" xfId="0" applyNumberFormat="1" applyAlignment="1">
      <alignment horizontal="center"/>
    </xf>
    <xf numFmtId="4" fontId="0" fillId="0" borderId="0" xfId="0" applyNumberFormat="1" applyFill="1" applyAlignment="1">
      <alignment horizontal="center"/>
    </xf>
    <xf numFmtId="10" fontId="0" fillId="0" borderId="0" xfId="0" applyNumberFormat="1" applyFill="1" applyAlignment="1">
      <alignment horizontal="center"/>
    </xf>
    <xf numFmtId="2" fontId="0" fillId="0" borderId="0" xfId="0" applyNumberFormat="1" applyFill="1" applyAlignment="1">
      <alignment horizontal="center"/>
    </xf>
    <xf numFmtId="0" fontId="0" fillId="0" borderId="0" xfId="0" applyFill="1" applyAlignment="1">
      <alignment horizontal="center"/>
    </xf>
    <xf numFmtId="3" fontId="0" fillId="0" borderId="0" xfId="0" applyNumberFormat="1" applyFill="1" applyAlignment="1">
      <alignment horizontal="center"/>
    </xf>
    <xf numFmtId="0" fontId="0" fillId="0" borderId="0" xfId="0" applyAlignment="1">
      <alignment horizontal="left" wrapText="1"/>
    </xf>
    <xf numFmtId="0" fontId="0" fillId="0" borderId="0" xfId="0" applyFont="1" applyAlignment="1">
      <alignment/>
    </xf>
    <xf numFmtId="1" fontId="0" fillId="0" borderId="0" xfId="0" applyNumberFormat="1" applyAlignment="1">
      <alignment horizontal="center"/>
    </xf>
    <xf numFmtId="0" fontId="0" fillId="0" borderId="0" xfId="0" applyAlignment="1">
      <alignment horizontal="left" wrapText="1" indent="2"/>
    </xf>
    <xf numFmtId="166" fontId="0" fillId="2" borderId="0" xfId="0" applyNumberFormat="1" applyFill="1" applyAlignment="1">
      <alignment horizontal="center"/>
    </xf>
    <xf numFmtId="167"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Fill="1" applyAlignment="1">
      <alignment horizontal="center"/>
    </xf>
    <xf numFmtId="166" fontId="0" fillId="0" borderId="0" xfId="0" applyNumberFormat="1" applyAlignment="1">
      <alignment horizontal="center"/>
    </xf>
    <xf numFmtId="167" fontId="0" fillId="3" borderId="0" xfId="0" applyNumberFormat="1" applyFill="1" applyAlignment="1">
      <alignment horizontal="center"/>
    </xf>
    <xf numFmtId="165" fontId="0" fillId="3" borderId="0" xfId="0" applyNumberFormat="1" applyFill="1" applyAlignment="1">
      <alignment horizontal="center"/>
    </xf>
    <xf numFmtId="168" fontId="0" fillId="2" borderId="0" xfId="0" applyNumberFormat="1" applyFill="1" applyAlignment="1">
      <alignment horizontal="center"/>
    </xf>
    <xf numFmtId="168" fontId="0" fillId="0" borderId="0" xfId="0" applyNumberFormat="1" applyFill="1" applyAlignment="1">
      <alignment horizontal="center"/>
    </xf>
    <xf numFmtId="0" fontId="0" fillId="4" borderId="0" xfId="0" applyFill="1" applyAlignment="1">
      <alignment/>
    </xf>
    <xf numFmtId="0" fontId="0" fillId="4" borderId="0" xfId="0" applyFont="1" applyFill="1" applyAlignment="1">
      <alignment/>
    </xf>
    <xf numFmtId="10" fontId="0" fillId="4" borderId="0" xfId="0" applyNumberFormat="1" applyFont="1" applyFill="1" applyAlignment="1" applyProtection="1">
      <alignment horizontal="center"/>
      <protection locked="0"/>
    </xf>
    <xf numFmtId="0" fontId="10" fillId="4" borderId="0" xfId="0" applyFont="1" applyFill="1" applyAlignment="1">
      <alignment/>
    </xf>
    <xf numFmtId="10" fontId="10" fillId="4" borderId="0" xfId="0" applyNumberFormat="1" applyFont="1" applyFill="1" applyAlignment="1">
      <alignment horizontal="left"/>
    </xf>
    <xf numFmtId="0" fontId="4" fillId="4" borderId="0" xfId="0" applyFont="1" applyFill="1" applyAlignment="1">
      <alignment/>
    </xf>
    <xf numFmtId="0" fontId="4" fillId="4" borderId="0" xfId="0" applyFont="1" applyFill="1" applyAlignment="1">
      <alignment/>
    </xf>
    <xf numFmtId="0" fontId="9" fillId="4" borderId="0" xfId="0" applyFont="1" applyFill="1" applyAlignment="1">
      <alignment horizontal="center"/>
    </xf>
    <xf numFmtId="164" fontId="11" fillId="4" borderId="0" xfId="0" applyNumberFormat="1" applyFont="1" applyFill="1" applyAlignment="1">
      <alignment horizontal="center"/>
    </xf>
    <xf numFmtId="165" fontId="11" fillId="4" borderId="0" xfId="0" applyNumberFormat="1" applyFont="1" applyFill="1" applyAlignment="1">
      <alignment horizontal="center"/>
    </xf>
    <xf numFmtId="2" fontId="4" fillId="4" borderId="0" xfId="0" applyNumberFormat="1"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0" fontId="4" fillId="4" borderId="0" xfId="0" applyNumberFormat="1" applyFont="1" applyFill="1" applyAlignment="1" applyProtection="1">
      <alignment horizontal="center"/>
      <protection locked="0"/>
    </xf>
    <xf numFmtId="164" fontId="4" fillId="4" borderId="0" xfId="0" applyNumberFormat="1" applyFont="1" applyFill="1" applyAlignment="1">
      <alignment/>
    </xf>
    <xf numFmtId="10" fontId="4" fillId="4" borderId="0" xfId="0" applyNumberFormat="1" applyFont="1" applyFill="1" applyAlignment="1">
      <alignment/>
    </xf>
    <xf numFmtId="2" fontId="4" fillId="4" borderId="0" xfId="0" applyNumberFormat="1" applyFont="1" applyFill="1" applyAlignment="1">
      <alignment/>
    </xf>
    <xf numFmtId="0" fontId="7" fillId="4" borderId="0" xfId="0" applyFont="1" applyFill="1" applyAlignment="1">
      <alignment/>
    </xf>
    <xf numFmtId="167" fontId="0" fillId="3" borderId="1" xfId="0" applyNumberFormat="1" applyFont="1" applyFill="1" applyBorder="1" applyAlignment="1" applyProtection="1">
      <alignment horizontal="center"/>
      <protection locked="0"/>
    </xf>
    <xf numFmtId="2" fontId="0" fillId="3" borderId="1" xfId="0" applyNumberFormat="1" applyFont="1" applyFill="1" applyBorder="1" applyAlignment="1" applyProtection="1">
      <alignment horizontal="center"/>
      <protection locked="0"/>
    </xf>
    <xf numFmtId="164" fontId="0" fillId="3" borderId="1" xfId="0" applyNumberFormat="1" applyFont="1" applyFill="1" applyBorder="1" applyAlignment="1" applyProtection="1">
      <alignment horizontal="center"/>
      <protection locked="0"/>
    </xf>
    <xf numFmtId="10" fontId="0" fillId="3" borderId="1" xfId="0" applyNumberFormat="1" applyFont="1" applyFill="1" applyBorder="1" applyAlignment="1" applyProtection="1">
      <alignment horizontal="center"/>
      <protection locked="0"/>
    </xf>
    <xf numFmtId="165" fontId="0" fillId="3" borderId="1" xfId="0" applyNumberFormat="1" applyFont="1" applyFill="1" applyBorder="1" applyAlignment="1" applyProtection="1">
      <alignment horizontal="center"/>
      <protection locked="0"/>
    </xf>
    <xf numFmtId="4" fontId="0" fillId="3" borderId="1" xfId="0" applyNumberFormat="1" applyFont="1" applyFill="1" applyBorder="1" applyAlignment="1" applyProtection="1">
      <alignment horizontal="center"/>
      <protection locked="0"/>
    </xf>
    <xf numFmtId="1" fontId="0" fillId="3" borderId="1" xfId="0" applyNumberFormat="1" applyFont="1" applyFill="1" applyBorder="1" applyAlignment="1" applyProtection="1">
      <alignment horizontal="center"/>
      <protection locked="0"/>
    </xf>
    <xf numFmtId="164" fontId="11" fillId="5" borderId="1" xfId="0" applyNumberFormat="1" applyFont="1" applyFill="1" applyBorder="1" applyAlignment="1">
      <alignment horizontal="center"/>
    </xf>
    <xf numFmtId="4" fontId="11" fillId="5" borderId="1" xfId="0" applyNumberFormat="1" applyFont="1" applyFill="1" applyBorder="1" applyAlignment="1">
      <alignment horizontal="center"/>
    </xf>
    <xf numFmtId="165" fontId="11" fillId="5" borderId="1" xfId="0" applyNumberFormat="1" applyFont="1" applyFill="1" applyBorder="1" applyAlignment="1">
      <alignment horizontal="center"/>
    </xf>
    <xf numFmtId="0" fontId="0" fillId="4" borderId="2" xfId="0" applyFont="1" applyFill="1" applyBorder="1" applyAlignment="1">
      <alignment/>
    </xf>
    <xf numFmtId="0" fontId="0" fillId="4" borderId="2" xfId="0" applyFont="1" applyFill="1" applyBorder="1" applyAlignment="1">
      <alignment horizontal="left"/>
    </xf>
    <xf numFmtId="0" fontId="0" fillId="4" borderId="2" xfId="0" applyFont="1" applyFill="1" applyBorder="1" applyAlignment="1">
      <alignment horizontal="left" indent="2"/>
    </xf>
    <xf numFmtId="10" fontId="0" fillId="4" borderId="2" xfId="0" applyNumberFormat="1" applyFont="1" applyFill="1" applyBorder="1" applyAlignment="1">
      <alignment horizontal="left" indent="2"/>
    </xf>
    <xf numFmtId="164" fontId="0" fillId="4" borderId="2" xfId="0" applyNumberFormat="1" applyFont="1" applyFill="1" applyBorder="1" applyAlignment="1">
      <alignment/>
    </xf>
    <xf numFmtId="2" fontId="0" fillId="4" borderId="2" xfId="0" applyNumberFormat="1" applyFont="1" applyFill="1" applyBorder="1" applyAlignment="1">
      <alignment/>
    </xf>
    <xf numFmtId="10" fontId="0" fillId="4" borderId="2" xfId="0" applyNumberFormat="1" applyFont="1" applyFill="1" applyBorder="1" applyAlignment="1">
      <alignment/>
    </xf>
    <xf numFmtId="167" fontId="11" fillId="5" borderId="1" xfId="0" applyNumberFormat="1" applyFont="1" applyFill="1" applyBorder="1" applyAlignment="1">
      <alignment horizontal="center"/>
    </xf>
    <xf numFmtId="0" fontId="0" fillId="4" borderId="3" xfId="0" applyFont="1" applyFill="1" applyBorder="1" applyAlignment="1">
      <alignment horizontal="left"/>
    </xf>
    <xf numFmtId="0" fontId="0" fillId="4" borderId="3" xfId="0" applyFont="1" applyFill="1" applyBorder="1" applyAlignment="1">
      <alignment/>
    </xf>
    <xf numFmtId="0" fontId="10" fillId="4" borderId="3" xfId="0" applyFont="1" applyFill="1" applyBorder="1" applyAlignment="1">
      <alignment/>
    </xf>
    <xf numFmtId="0" fontId="0" fillId="4" borderId="3" xfId="0" applyFont="1" applyFill="1" applyBorder="1" applyAlignment="1">
      <alignment horizontal="left" indent="2"/>
    </xf>
    <xf numFmtId="164" fontId="0" fillId="4" borderId="3" xfId="0" applyNumberFormat="1" applyFont="1" applyFill="1" applyBorder="1" applyAlignment="1">
      <alignment horizontal="left" indent="2"/>
    </xf>
    <xf numFmtId="10" fontId="0" fillId="4" borderId="3" xfId="0" applyNumberFormat="1" applyFont="1" applyFill="1" applyBorder="1" applyAlignment="1">
      <alignment horizontal="left" indent="2"/>
    </xf>
    <xf numFmtId="164" fontId="0" fillId="3" borderId="4" xfId="0" applyNumberFormat="1" applyFont="1" applyFill="1" applyBorder="1" applyAlignment="1" applyProtection="1">
      <alignment horizontal="center"/>
      <protection locked="0"/>
    </xf>
    <xf numFmtId="10" fontId="0" fillId="3" borderId="5" xfId="0" applyNumberFormat="1" applyFont="1" applyFill="1" applyBorder="1" applyAlignment="1" applyProtection="1">
      <alignment horizontal="center"/>
      <protection locked="0"/>
    </xf>
    <xf numFmtId="164" fontId="0" fillId="6" borderId="6" xfId="0" applyNumberFormat="1" applyFont="1" applyFill="1" applyBorder="1" applyAlignment="1" applyProtection="1">
      <alignment horizontal="center"/>
      <protection locked="0"/>
    </xf>
    <xf numFmtId="2" fontId="0" fillId="6" borderId="6" xfId="0" applyNumberFormat="1" applyFont="1" applyFill="1" applyBorder="1" applyAlignment="1" applyProtection="1">
      <alignment horizontal="center"/>
      <protection locked="0"/>
    </xf>
    <xf numFmtId="0" fontId="0" fillId="0" borderId="0" xfId="0" applyAlignment="1">
      <alignment wrapText="1"/>
    </xf>
    <xf numFmtId="0" fontId="0" fillId="0" borderId="0" xfId="0" applyFont="1" applyAlignment="1">
      <alignment/>
    </xf>
    <xf numFmtId="0" fontId="0" fillId="0" borderId="0" xfId="0" applyAlignment="1">
      <alignment/>
    </xf>
    <xf numFmtId="0" fontId="5" fillId="4" borderId="0" xfId="0" applyFont="1" applyFill="1" applyAlignment="1">
      <alignment horizontal="center" wrapText="1"/>
    </xf>
    <xf numFmtId="0" fontId="0" fillId="4" borderId="0" xfId="0" applyFill="1" applyAlignment="1">
      <alignment horizontal="center" wrapText="1"/>
    </xf>
    <xf numFmtId="0" fontId="2" fillId="4" borderId="0" xfId="0" applyFont="1" applyFill="1" applyAlignment="1">
      <alignment horizontal="center"/>
    </xf>
    <xf numFmtId="0" fontId="3" fillId="4" borderId="0" xfId="0" applyFont="1" applyFill="1" applyAlignment="1">
      <alignment horizontal="center" wrapText="1"/>
    </xf>
    <xf numFmtId="0" fontId="4" fillId="4" borderId="0" xfId="0" applyFont="1" applyFill="1" applyAlignment="1">
      <alignment horizontal="center"/>
    </xf>
    <xf numFmtId="0" fontId="6" fillId="4" borderId="0" xfId="0" applyFont="1" applyFill="1" applyAlignment="1">
      <alignment horizontal="center"/>
    </xf>
    <xf numFmtId="0" fontId="0" fillId="4" borderId="0" xfId="0" applyFill="1" applyAlignment="1">
      <alignment horizontal="center"/>
    </xf>
    <xf numFmtId="0" fontId="8" fillId="4" borderId="0" xfId="0" applyFont="1" applyFill="1" applyAlignment="1">
      <alignment horizontal="center" wrapText="1"/>
    </xf>
    <xf numFmtId="0" fontId="15" fillId="4" borderId="0" xfId="0" applyFont="1" applyFill="1" applyAlignment="1">
      <alignment horizontal="center"/>
    </xf>
    <xf numFmtId="0" fontId="15" fillId="0" borderId="0" xfId="0" applyFont="1" applyAlignment="1">
      <alignment horizontal="center"/>
    </xf>
    <xf numFmtId="0" fontId="16" fillId="4"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D283"/>
  <sheetViews>
    <sheetView tabSelected="1" zoomScale="120" zoomScaleNormal="120" workbookViewId="0" topLeftCell="A1">
      <selection activeCell="A6" sqref="A6:I7"/>
    </sheetView>
  </sheetViews>
  <sheetFormatPr defaultColWidth="9.140625" defaultRowHeight="12.75"/>
  <cols>
    <col min="11" max="11" width="28.57421875" style="0" customWidth="1"/>
    <col min="12" max="12" width="45.140625" style="0" customWidth="1"/>
    <col min="14" max="14" width="5.421875" style="0" customWidth="1"/>
    <col min="15" max="15" width="66.28125" style="0" customWidth="1"/>
    <col min="16" max="16" width="16.421875" style="0" customWidth="1"/>
    <col min="17" max="17" width="10.28125" style="0" hidden="1" customWidth="1"/>
    <col min="18" max="18" width="6.140625" style="0" hidden="1" customWidth="1"/>
    <col min="53" max="53" width="47.421875" style="0" hidden="1" customWidth="1"/>
    <col min="54" max="54" width="15.7109375" style="0" hidden="1" customWidth="1"/>
    <col min="55" max="55" width="16.140625" style="0" hidden="1" customWidth="1"/>
    <col min="56" max="56" width="18.140625" style="0" hidden="1" customWidth="1"/>
  </cols>
  <sheetData>
    <row r="1" spans="1:40" ht="12.75" customHeight="1">
      <c r="A1" s="83" t="s">
        <v>19</v>
      </c>
      <c r="B1" s="83"/>
      <c r="C1" s="83"/>
      <c r="D1" s="83"/>
      <c r="E1" s="83"/>
      <c r="F1" s="83"/>
      <c r="G1" s="83"/>
      <c r="H1" s="83"/>
      <c r="I1" s="8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row>
    <row r="2" spans="1:40" ht="29.25" customHeight="1">
      <c r="A2" s="83"/>
      <c r="B2" s="83"/>
      <c r="C2" s="83"/>
      <c r="D2" s="83"/>
      <c r="E2" s="83"/>
      <c r="F2" s="83"/>
      <c r="G2" s="83"/>
      <c r="H2" s="83"/>
      <c r="I2" s="8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row>
    <row r="3" spans="1:40" ht="22.5" customHeight="1">
      <c r="A3" s="89" t="s">
        <v>143</v>
      </c>
      <c r="B3" s="89"/>
      <c r="C3" s="89"/>
      <c r="D3" s="89"/>
      <c r="E3" s="89"/>
      <c r="F3" s="89"/>
      <c r="G3" s="89"/>
      <c r="H3" s="89"/>
      <c r="I3" s="89"/>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row>
    <row r="4" spans="1:40" ht="23.25" customHeight="1">
      <c r="A4" s="90" t="s">
        <v>144</v>
      </c>
      <c r="B4" s="90"/>
      <c r="C4" s="90"/>
      <c r="D4" s="90"/>
      <c r="E4" s="90"/>
      <c r="F4" s="90"/>
      <c r="G4" s="90"/>
      <c r="H4" s="90"/>
      <c r="I4" s="90"/>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row>
    <row r="5" spans="1:40" ht="24.75" customHeight="1">
      <c r="A5" s="91" t="s">
        <v>107</v>
      </c>
      <c r="B5" s="91"/>
      <c r="C5" s="91"/>
      <c r="D5" s="91"/>
      <c r="E5" s="91"/>
      <c r="F5" s="91"/>
      <c r="G5" s="91"/>
      <c r="H5" s="91"/>
      <c r="I5" s="91"/>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row>
    <row r="6" spans="1:40" ht="12.75" customHeight="1">
      <c r="A6" s="84" t="s">
        <v>108</v>
      </c>
      <c r="B6" s="84"/>
      <c r="C6" s="84"/>
      <c r="D6" s="84"/>
      <c r="E6" s="84"/>
      <c r="F6" s="84"/>
      <c r="G6" s="84"/>
      <c r="H6" s="84"/>
      <c r="I6" s="84"/>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row>
    <row r="7" spans="1:40" ht="34.5" customHeight="1">
      <c r="A7" s="84"/>
      <c r="B7" s="84"/>
      <c r="C7" s="84"/>
      <c r="D7" s="84"/>
      <c r="E7" s="84"/>
      <c r="F7" s="84"/>
      <c r="G7" s="84"/>
      <c r="H7" s="84"/>
      <c r="I7" s="84"/>
      <c r="J7" s="33"/>
      <c r="K7" s="33"/>
      <c r="L7" s="33"/>
      <c r="M7" s="33"/>
      <c r="N7" s="33"/>
      <c r="O7" s="85" t="s">
        <v>145</v>
      </c>
      <c r="P7" s="85"/>
      <c r="Q7" s="85"/>
      <c r="R7" s="85"/>
      <c r="S7" s="33"/>
      <c r="T7" s="33"/>
      <c r="U7" s="33"/>
      <c r="V7" s="33"/>
      <c r="W7" s="33"/>
      <c r="X7" s="33"/>
      <c r="Y7" s="33"/>
      <c r="Z7" s="33"/>
      <c r="AA7" s="33"/>
      <c r="AB7" s="33"/>
      <c r="AC7" s="33"/>
      <c r="AD7" s="33"/>
      <c r="AE7" s="33"/>
      <c r="AF7" s="33"/>
      <c r="AG7" s="33"/>
      <c r="AH7" s="33"/>
      <c r="AI7" s="33"/>
      <c r="AJ7" s="33"/>
      <c r="AK7" s="33"/>
      <c r="AL7" s="33"/>
      <c r="AM7" s="33"/>
      <c r="AN7" s="33"/>
    </row>
    <row r="8" spans="1:40" ht="17.25" customHeight="1">
      <c r="A8" s="33"/>
      <c r="B8" s="33"/>
      <c r="C8" s="33"/>
      <c r="D8" s="33"/>
      <c r="E8" s="33"/>
      <c r="F8" s="33"/>
      <c r="G8" s="33"/>
      <c r="H8" s="33"/>
      <c r="I8" s="33"/>
      <c r="J8" s="33"/>
      <c r="K8" s="33"/>
      <c r="L8" s="33"/>
      <c r="M8" s="33"/>
      <c r="N8" s="33"/>
      <c r="O8" s="81" t="s">
        <v>109</v>
      </c>
      <c r="P8" s="82"/>
      <c r="Q8" s="82"/>
      <c r="R8" s="82"/>
      <c r="S8" s="33"/>
      <c r="T8" s="33"/>
      <c r="U8" s="33"/>
      <c r="V8" s="33"/>
      <c r="W8" s="33"/>
      <c r="X8" s="33"/>
      <c r="Y8" s="33"/>
      <c r="Z8" s="33"/>
      <c r="AA8" s="33"/>
      <c r="AB8" s="33"/>
      <c r="AC8" s="33"/>
      <c r="AD8" s="33"/>
      <c r="AE8" s="33"/>
      <c r="AF8" s="33"/>
      <c r="AG8" s="33"/>
      <c r="AH8" s="33"/>
      <c r="AI8" s="33"/>
      <c r="AJ8" s="33"/>
      <c r="AK8" s="33"/>
      <c r="AL8" s="33"/>
      <c r="AM8" s="33"/>
      <c r="AN8" s="33"/>
    </row>
    <row r="9" spans="1:40" ht="19.5" customHeight="1">
      <c r="A9" s="33"/>
      <c r="B9" s="33"/>
      <c r="C9" s="33"/>
      <c r="D9" s="33"/>
      <c r="E9" s="33"/>
      <c r="F9" s="33"/>
      <c r="G9" s="33"/>
      <c r="H9" s="33"/>
      <c r="I9" s="33"/>
      <c r="J9" s="33"/>
      <c r="K9" s="33"/>
      <c r="L9" s="33"/>
      <c r="M9" s="33"/>
      <c r="N9" s="33"/>
      <c r="O9" s="88" t="s">
        <v>22</v>
      </c>
      <c r="P9" s="82"/>
      <c r="Q9" s="82"/>
      <c r="R9" s="33"/>
      <c r="S9" s="33"/>
      <c r="T9" s="33"/>
      <c r="U9" s="33"/>
      <c r="V9" s="33"/>
      <c r="W9" s="33"/>
      <c r="X9" s="33"/>
      <c r="Y9" s="33"/>
      <c r="Z9" s="33"/>
      <c r="AA9" s="33"/>
      <c r="AB9" s="33"/>
      <c r="AC9" s="33"/>
      <c r="AD9" s="33"/>
      <c r="AE9" s="33"/>
      <c r="AF9" s="33"/>
      <c r="AG9" s="33"/>
      <c r="AH9" s="33"/>
      <c r="AI9" s="33"/>
      <c r="AJ9" s="33"/>
      <c r="AK9" s="33"/>
      <c r="AL9" s="33"/>
      <c r="AM9" s="33"/>
      <c r="AN9" s="33"/>
    </row>
    <row r="10" spans="1:40" ht="12.75">
      <c r="A10" s="33"/>
      <c r="B10" s="33"/>
      <c r="C10" s="33"/>
      <c r="D10" s="33"/>
      <c r="E10" s="33"/>
      <c r="F10" s="33"/>
      <c r="G10" s="33"/>
      <c r="H10" s="33"/>
      <c r="I10" s="33"/>
      <c r="J10" s="33"/>
      <c r="K10" s="33"/>
      <c r="L10" s="33"/>
      <c r="M10" s="33"/>
      <c r="N10" s="33"/>
      <c r="O10" s="60" t="s">
        <v>20</v>
      </c>
      <c r="P10" s="50">
        <v>0.75</v>
      </c>
      <c r="Q10" s="33"/>
      <c r="R10" s="33"/>
      <c r="S10" s="33"/>
      <c r="T10" s="33"/>
      <c r="U10" s="33"/>
      <c r="V10" s="33"/>
      <c r="W10" s="33"/>
      <c r="X10" s="33"/>
      <c r="Y10" s="33"/>
      <c r="Z10" s="33"/>
      <c r="AA10" s="33"/>
      <c r="AB10" s="33"/>
      <c r="AC10" s="33"/>
      <c r="AD10" s="33"/>
      <c r="AE10" s="33"/>
      <c r="AF10" s="33"/>
      <c r="AG10" s="33"/>
      <c r="AH10" s="33"/>
      <c r="AI10" s="33"/>
      <c r="AJ10" s="33"/>
      <c r="AK10" s="33"/>
      <c r="AL10" s="33"/>
      <c r="AM10" s="33"/>
      <c r="AN10" s="33"/>
    </row>
    <row r="11" spans="1:40" ht="12.75">
      <c r="A11" s="33"/>
      <c r="B11" s="33"/>
      <c r="C11" s="33"/>
      <c r="D11" s="33"/>
      <c r="E11" s="33"/>
      <c r="F11" s="33"/>
      <c r="G11" s="33"/>
      <c r="H11" s="33"/>
      <c r="I11" s="33"/>
      <c r="J11" s="33"/>
      <c r="K11" s="33"/>
      <c r="L11" s="33"/>
      <c r="M11" s="33"/>
      <c r="N11" s="33"/>
      <c r="O11" s="61" t="s">
        <v>21</v>
      </c>
      <c r="P11" s="51">
        <v>550</v>
      </c>
      <c r="Q11" s="33"/>
      <c r="R11" s="33"/>
      <c r="S11" s="33"/>
      <c r="T11" s="33"/>
      <c r="U11" s="33"/>
      <c r="V11" s="33"/>
      <c r="W11" s="33"/>
      <c r="X11" s="33"/>
      <c r="Y11" s="33"/>
      <c r="Z11" s="33"/>
      <c r="AA11" s="33"/>
      <c r="AB11" s="33"/>
      <c r="AC11" s="33"/>
      <c r="AD11" s="33"/>
      <c r="AE11" s="33"/>
      <c r="AF11" s="33"/>
      <c r="AG11" s="33"/>
      <c r="AH11" s="33"/>
      <c r="AI11" s="33"/>
      <c r="AJ11" s="33"/>
      <c r="AK11" s="33"/>
      <c r="AL11" s="33"/>
      <c r="AM11" s="33"/>
      <c r="AN11" s="33"/>
    </row>
    <row r="12" spans="1:40" ht="12.75">
      <c r="A12" s="33"/>
      <c r="B12" s="33"/>
      <c r="C12" s="33"/>
      <c r="D12" s="33"/>
      <c r="E12" s="33"/>
      <c r="F12" s="33"/>
      <c r="G12" s="33"/>
      <c r="H12" s="33"/>
      <c r="I12" s="33"/>
      <c r="J12" s="33"/>
      <c r="K12" s="33"/>
      <c r="L12" s="33"/>
      <c r="M12" s="33"/>
      <c r="N12" s="33"/>
      <c r="O12" s="61" t="s">
        <v>124</v>
      </c>
      <c r="P12" s="52">
        <v>3.1</v>
      </c>
      <c r="Q12" s="33"/>
      <c r="R12" s="33"/>
      <c r="S12" s="33"/>
      <c r="T12" s="33"/>
      <c r="U12" s="33"/>
      <c r="V12" s="33"/>
      <c r="W12" s="33"/>
      <c r="X12" s="33"/>
      <c r="Y12" s="33"/>
      <c r="Z12" s="33"/>
      <c r="AA12" s="33"/>
      <c r="AB12" s="33"/>
      <c r="AC12" s="33"/>
      <c r="AD12" s="33"/>
      <c r="AE12" s="33"/>
      <c r="AF12" s="33"/>
      <c r="AG12" s="33"/>
      <c r="AH12" s="33"/>
      <c r="AI12" s="33"/>
      <c r="AJ12" s="33"/>
      <c r="AK12" s="33"/>
      <c r="AL12" s="33"/>
      <c r="AM12" s="33"/>
      <c r="AN12" s="33"/>
    </row>
    <row r="13" spans="1:40" ht="12.75">
      <c r="A13" s="33"/>
      <c r="B13" s="33"/>
      <c r="C13" s="33"/>
      <c r="D13" s="33"/>
      <c r="E13" s="33"/>
      <c r="F13" s="33"/>
      <c r="G13" s="33"/>
      <c r="H13" s="33"/>
      <c r="I13" s="33"/>
      <c r="J13" s="33"/>
      <c r="K13" s="33"/>
      <c r="L13" s="33"/>
      <c r="M13" s="33"/>
      <c r="N13" s="33"/>
      <c r="O13" s="60" t="s">
        <v>79</v>
      </c>
      <c r="P13" s="52">
        <v>10</v>
      </c>
      <c r="Q13" s="33"/>
      <c r="R13" s="33"/>
      <c r="S13" s="33"/>
      <c r="T13" s="33"/>
      <c r="U13" s="33"/>
      <c r="V13" s="33"/>
      <c r="W13" s="33"/>
      <c r="X13" s="33"/>
      <c r="Y13" s="33"/>
      <c r="Z13" s="33"/>
      <c r="AA13" s="33"/>
      <c r="AB13" s="33"/>
      <c r="AC13" s="33"/>
      <c r="AD13" s="33"/>
      <c r="AE13" s="33"/>
      <c r="AF13" s="33"/>
      <c r="AG13" s="33"/>
      <c r="AH13" s="33"/>
      <c r="AI13" s="33"/>
      <c r="AJ13" s="33"/>
      <c r="AK13" s="33"/>
      <c r="AL13" s="33"/>
      <c r="AM13" s="33"/>
      <c r="AN13" s="33"/>
    </row>
    <row r="14" spans="1:40" ht="12.75">
      <c r="A14" s="33"/>
      <c r="B14" s="33"/>
      <c r="C14" s="33"/>
      <c r="D14" s="33"/>
      <c r="E14" s="33"/>
      <c r="F14" s="33"/>
      <c r="G14" s="33"/>
      <c r="H14" s="33"/>
      <c r="I14" s="33"/>
      <c r="J14" s="33"/>
      <c r="K14" s="33"/>
      <c r="L14" s="33"/>
      <c r="M14" s="33"/>
      <c r="N14" s="33"/>
      <c r="O14" s="60" t="s">
        <v>80</v>
      </c>
      <c r="P14" s="53">
        <v>0.1</v>
      </c>
      <c r="Q14" s="33"/>
      <c r="R14" s="33"/>
      <c r="S14" s="33"/>
      <c r="T14" s="33"/>
      <c r="U14" s="33"/>
      <c r="V14" s="33"/>
      <c r="W14" s="33"/>
      <c r="X14" s="33"/>
      <c r="Y14" s="33"/>
      <c r="Z14" s="33"/>
      <c r="AA14" s="33"/>
      <c r="AB14" s="33"/>
      <c r="AC14" s="33"/>
      <c r="AD14" s="33"/>
      <c r="AE14" s="33"/>
      <c r="AF14" s="33"/>
      <c r="AG14" s="33"/>
      <c r="AH14" s="33"/>
      <c r="AI14" s="33"/>
      <c r="AJ14" s="33"/>
      <c r="AK14" s="33"/>
      <c r="AL14" s="33"/>
      <c r="AM14" s="33"/>
      <c r="AN14" s="33"/>
    </row>
    <row r="15" spans="1:40" ht="12.75">
      <c r="A15" s="33"/>
      <c r="B15" s="33"/>
      <c r="C15" s="33"/>
      <c r="D15" s="33"/>
      <c r="E15" s="33"/>
      <c r="F15" s="33"/>
      <c r="G15" s="33"/>
      <c r="H15" s="33"/>
      <c r="I15" s="33"/>
      <c r="J15" s="33"/>
      <c r="K15" s="33"/>
      <c r="L15" s="33"/>
      <c r="M15" s="33"/>
      <c r="N15" s="33"/>
      <c r="O15" s="36" t="s">
        <v>130</v>
      </c>
      <c r="P15" s="35"/>
      <c r="Q15" s="33"/>
      <c r="R15" s="33"/>
      <c r="S15" s="33"/>
      <c r="T15" s="33"/>
      <c r="U15" s="33"/>
      <c r="V15" s="33"/>
      <c r="W15" s="33"/>
      <c r="X15" s="33"/>
      <c r="Y15" s="33"/>
      <c r="Z15" s="33"/>
      <c r="AA15" s="33"/>
      <c r="AB15" s="33"/>
      <c r="AC15" s="33"/>
      <c r="AD15" s="33"/>
      <c r="AE15" s="33"/>
      <c r="AF15" s="33"/>
      <c r="AG15" s="33"/>
      <c r="AH15" s="33"/>
      <c r="AI15" s="33"/>
      <c r="AJ15" s="33"/>
      <c r="AK15" s="33"/>
      <c r="AL15" s="33"/>
      <c r="AM15" s="33"/>
      <c r="AN15" s="33"/>
    </row>
    <row r="16" spans="1:40" ht="12.75">
      <c r="A16" s="33"/>
      <c r="B16" s="33"/>
      <c r="C16" s="33"/>
      <c r="D16" s="33"/>
      <c r="E16" s="33"/>
      <c r="F16" s="33"/>
      <c r="G16" s="33"/>
      <c r="H16" s="33"/>
      <c r="I16" s="33"/>
      <c r="J16" s="33"/>
      <c r="K16" s="33"/>
      <c r="L16" s="33"/>
      <c r="M16" s="33"/>
      <c r="N16" s="33"/>
      <c r="O16" s="62" t="s">
        <v>81</v>
      </c>
      <c r="P16" s="54">
        <v>0</v>
      </c>
      <c r="Q16" s="33"/>
      <c r="R16" s="33"/>
      <c r="S16" s="33"/>
      <c r="T16" s="33"/>
      <c r="U16" s="33"/>
      <c r="V16" s="33"/>
      <c r="W16" s="33"/>
      <c r="X16" s="33"/>
      <c r="Y16" s="33"/>
      <c r="Z16" s="33"/>
      <c r="AA16" s="33"/>
      <c r="AB16" s="33"/>
      <c r="AC16" s="33"/>
      <c r="AD16" s="33"/>
      <c r="AE16" s="33"/>
      <c r="AF16" s="33"/>
      <c r="AG16" s="33"/>
      <c r="AH16" s="33"/>
      <c r="AI16" s="33"/>
      <c r="AJ16" s="33"/>
      <c r="AK16" s="33"/>
      <c r="AL16" s="33"/>
      <c r="AM16" s="33"/>
      <c r="AN16" s="33"/>
    </row>
    <row r="17" spans="1:40" ht="12.75">
      <c r="A17" s="33"/>
      <c r="B17" s="33"/>
      <c r="C17" s="33"/>
      <c r="D17" s="33"/>
      <c r="E17" s="33"/>
      <c r="F17" s="33"/>
      <c r="G17" s="33"/>
      <c r="H17" s="33"/>
      <c r="I17" s="33"/>
      <c r="J17" s="33"/>
      <c r="K17" s="33"/>
      <c r="L17" s="33"/>
      <c r="M17" s="33"/>
      <c r="N17" s="33"/>
      <c r="O17" s="62" t="s">
        <v>82</v>
      </c>
      <c r="P17" s="55">
        <v>0</v>
      </c>
      <c r="Q17" s="33"/>
      <c r="R17" s="33"/>
      <c r="S17" s="33"/>
      <c r="T17" s="33"/>
      <c r="U17" s="33"/>
      <c r="V17" s="33"/>
      <c r="W17" s="33"/>
      <c r="X17" s="33"/>
      <c r="Y17" s="33"/>
      <c r="Z17" s="33"/>
      <c r="AA17" s="33"/>
      <c r="AB17" s="33"/>
      <c r="AC17" s="33"/>
      <c r="AD17" s="33"/>
      <c r="AE17" s="33"/>
      <c r="AF17" s="33"/>
      <c r="AG17" s="33"/>
      <c r="AH17" s="33"/>
      <c r="AI17" s="33"/>
      <c r="AJ17" s="33"/>
      <c r="AK17" s="33"/>
      <c r="AL17" s="33"/>
      <c r="AM17" s="33"/>
      <c r="AN17" s="33"/>
    </row>
    <row r="18" spans="1:40" ht="12.75">
      <c r="A18" s="33"/>
      <c r="B18" s="33"/>
      <c r="C18" s="33"/>
      <c r="D18" s="33"/>
      <c r="E18" s="33"/>
      <c r="F18" s="33"/>
      <c r="G18" s="33"/>
      <c r="H18" s="33"/>
      <c r="I18" s="33"/>
      <c r="J18" s="33"/>
      <c r="K18" s="33"/>
      <c r="L18" s="33"/>
      <c r="M18" s="33"/>
      <c r="N18" s="33"/>
      <c r="O18" s="62" t="s">
        <v>35</v>
      </c>
      <c r="P18" s="56">
        <v>0</v>
      </c>
      <c r="Q18" s="33"/>
      <c r="R18" s="33"/>
      <c r="S18" s="33"/>
      <c r="T18" s="33"/>
      <c r="U18" s="33"/>
      <c r="V18" s="33"/>
      <c r="W18" s="33"/>
      <c r="X18" s="33"/>
      <c r="Y18" s="33"/>
      <c r="Z18" s="33"/>
      <c r="AA18" s="33"/>
      <c r="AB18" s="33"/>
      <c r="AC18" s="33"/>
      <c r="AD18" s="33"/>
      <c r="AE18" s="33"/>
      <c r="AF18" s="33"/>
      <c r="AG18" s="33"/>
      <c r="AH18" s="33"/>
      <c r="AI18" s="33"/>
      <c r="AJ18" s="33"/>
      <c r="AK18" s="33"/>
      <c r="AL18" s="33"/>
      <c r="AM18" s="33"/>
      <c r="AN18" s="33"/>
    </row>
    <row r="19" spans="1:40" ht="13.5" thickBot="1">
      <c r="A19" s="33"/>
      <c r="B19" s="33"/>
      <c r="C19" s="33"/>
      <c r="D19" s="33"/>
      <c r="E19" s="33"/>
      <c r="F19" s="33"/>
      <c r="G19" s="33"/>
      <c r="H19" s="33"/>
      <c r="I19" s="33"/>
      <c r="J19" s="33"/>
      <c r="K19" s="33"/>
      <c r="L19" s="33"/>
      <c r="M19" s="33"/>
      <c r="N19" s="33"/>
      <c r="O19" s="62" t="s">
        <v>30</v>
      </c>
      <c r="P19" s="74">
        <v>0</v>
      </c>
      <c r="Q19" s="33"/>
      <c r="R19" s="33"/>
      <c r="S19" s="33"/>
      <c r="T19" s="33"/>
      <c r="U19" s="33"/>
      <c r="V19" s="33"/>
      <c r="W19" s="33"/>
      <c r="X19" s="33"/>
      <c r="Y19" s="33"/>
      <c r="Z19" s="33"/>
      <c r="AA19" s="33"/>
      <c r="AB19" s="33"/>
      <c r="AC19" s="33"/>
      <c r="AD19" s="33"/>
      <c r="AE19" s="33"/>
      <c r="AF19" s="33"/>
      <c r="AG19" s="33"/>
      <c r="AH19" s="33"/>
      <c r="AI19" s="33"/>
      <c r="AJ19" s="33"/>
      <c r="AK19" s="33"/>
      <c r="AL19" s="33"/>
      <c r="AM19" s="33"/>
      <c r="AN19" s="33"/>
    </row>
    <row r="20" spans="1:40" ht="13.5" thickBot="1">
      <c r="A20" s="33"/>
      <c r="B20" s="33"/>
      <c r="C20" s="33"/>
      <c r="D20" s="33"/>
      <c r="E20" s="33"/>
      <c r="F20" s="33"/>
      <c r="G20" s="33"/>
      <c r="H20" s="33"/>
      <c r="I20" s="33"/>
      <c r="J20" s="33"/>
      <c r="K20" s="33"/>
      <c r="L20" s="33"/>
      <c r="M20" s="33"/>
      <c r="N20" s="33"/>
      <c r="O20" s="71" t="s">
        <v>83</v>
      </c>
      <c r="P20" s="76">
        <v>9</v>
      </c>
      <c r="Q20" s="33"/>
      <c r="R20" s="33"/>
      <c r="S20" s="33"/>
      <c r="T20" s="33"/>
      <c r="U20" s="33"/>
      <c r="V20" s="33"/>
      <c r="W20" s="33"/>
      <c r="X20" s="33"/>
      <c r="Y20" s="33"/>
      <c r="Z20" s="33"/>
      <c r="AA20" s="33"/>
      <c r="AB20" s="33"/>
      <c r="AC20" s="33"/>
      <c r="AD20" s="33"/>
      <c r="AE20" s="33"/>
      <c r="AF20" s="33"/>
      <c r="AG20" s="33"/>
      <c r="AH20" s="33"/>
      <c r="AI20" s="33"/>
      <c r="AJ20" s="33"/>
      <c r="AK20" s="33"/>
      <c r="AL20" s="33"/>
      <c r="AM20" s="33"/>
      <c r="AN20" s="33"/>
    </row>
    <row r="21" spans="1:40" ht="13.5" thickBot="1">
      <c r="A21" s="33"/>
      <c r="B21" s="33"/>
      <c r="C21" s="33"/>
      <c r="D21" s="33"/>
      <c r="E21" s="33"/>
      <c r="F21" s="33"/>
      <c r="G21" s="33"/>
      <c r="H21" s="33"/>
      <c r="I21" s="33"/>
      <c r="J21" s="33"/>
      <c r="K21" s="33"/>
      <c r="L21" s="33"/>
      <c r="M21" s="33"/>
      <c r="N21" s="33"/>
      <c r="O21" s="62" t="s">
        <v>31</v>
      </c>
      <c r="P21" s="75">
        <v>0</v>
      </c>
      <c r="Q21" s="33"/>
      <c r="R21" s="33"/>
      <c r="S21" s="33"/>
      <c r="T21" s="33"/>
      <c r="U21" s="33"/>
      <c r="V21" s="33"/>
      <c r="W21" s="33"/>
      <c r="X21" s="33"/>
      <c r="Y21" s="33"/>
      <c r="Z21" s="33"/>
      <c r="AA21" s="33"/>
      <c r="AB21" s="33"/>
      <c r="AC21" s="33"/>
      <c r="AD21" s="33"/>
      <c r="AE21" s="33"/>
      <c r="AF21" s="33"/>
      <c r="AG21" s="33"/>
      <c r="AH21" s="33"/>
      <c r="AI21" s="33"/>
      <c r="AJ21" s="33"/>
      <c r="AK21" s="33"/>
      <c r="AL21" s="33"/>
      <c r="AM21" s="33"/>
      <c r="AN21" s="33"/>
    </row>
    <row r="22" spans="1:40" ht="13.5" thickBot="1">
      <c r="A22" s="33"/>
      <c r="B22" s="33"/>
      <c r="C22" s="33"/>
      <c r="D22" s="33"/>
      <c r="E22" s="33"/>
      <c r="F22" s="33"/>
      <c r="G22" s="33"/>
      <c r="H22" s="33"/>
      <c r="I22" s="33"/>
      <c r="J22" s="33"/>
      <c r="K22" s="33"/>
      <c r="L22" s="33"/>
      <c r="M22" s="33"/>
      <c r="N22" s="33"/>
      <c r="O22" s="71" t="s">
        <v>23</v>
      </c>
      <c r="P22" s="76">
        <v>15</v>
      </c>
      <c r="Q22" s="33"/>
      <c r="R22" s="33"/>
      <c r="S22" s="33"/>
      <c r="T22" s="33"/>
      <c r="U22" s="33"/>
      <c r="V22" s="33"/>
      <c r="W22" s="33"/>
      <c r="X22" s="33"/>
      <c r="Y22" s="33"/>
      <c r="Z22" s="33"/>
      <c r="AA22" s="33"/>
      <c r="AB22" s="33"/>
      <c r="AC22" s="33"/>
      <c r="AD22" s="33"/>
      <c r="AE22" s="33"/>
      <c r="AF22" s="33"/>
      <c r="AG22" s="33"/>
      <c r="AH22" s="33"/>
      <c r="AI22" s="33"/>
      <c r="AJ22" s="33"/>
      <c r="AK22" s="33"/>
      <c r="AL22" s="33"/>
      <c r="AM22" s="33"/>
      <c r="AN22" s="33"/>
    </row>
    <row r="23" spans="1:40" ht="13.5" thickBot="1">
      <c r="A23" s="33"/>
      <c r="B23" s="33"/>
      <c r="C23" s="33"/>
      <c r="D23" s="33"/>
      <c r="E23" s="33"/>
      <c r="F23" s="33"/>
      <c r="G23" s="33"/>
      <c r="H23" s="33"/>
      <c r="I23" s="33"/>
      <c r="J23" s="33"/>
      <c r="K23" s="33"/>
      <c r="L23" s="33"/>
      <c r="M23" s="33"/>
      <c r="N23" s="33"/>
      <c r="O23" s="62" t="s">
        <v>84</v>
      </c>
      <c r="P23" s="75">
        <v>0</v>
      </c>
      <c r="Q23" s="33"/>
      <c r="R23" s="33"/>
      <c r="S23" s="33"/>
      <c r="T23" s="33"/>
      <c r="U23" s="33"/>
      <c r="V23" s="33"/>
      <c r="W23" s="33"/>
      <c r="X23" s="33"/>
      <c r="Y23" s="33"/>
      <c r="Z23" s="33"/>
      <c r="AA23" s="33"/>
      <c r="AB23" s="33"/>
      <c r="AC23" s="33"/>
      <c r="AD23" s="33"/>
      <c r="AE23" s="33"/>
      <c r="AF23" s="33"/>
      <c r="AG23" s="33"/>
      <c r="AH23" s="33"/>
      <c r="AI23" s="33"/>
      <c r="AJ23" s="33"/>
      <c r="AK23" s="33"/>
      <c r="AL23" s="33"/>
      <c r="AM23" s="33"/>
      <c r="AN23" s="33"/>
    </row>
    <row r="24" spans="1:40" ht="13.5" thickBot="1">
      <c r="A24" s="33"/>
      <c r="B24" s="33"/>
      <c r="C24" s="33"/>
      <c r="D24" s="33"/>
      <c r="E24" s="33"/>
      <c r="F24" s="33"/>
      <c r="G24" s="33"/>
      <c r="H24" s="33"/>
      <c r="I24" s="33"/>
      <c r="J24" s="33"/>
      <c r="K24" s="33"/>
      <c r="L24" s="33"/>
      <c r="M24" s="33"/>
      <c r="N24" s="33"/>
      <c r="O24" s="72" t="s">
        <v>134</v>
      </c>
      <c r="P24" s="76">
        <v>18</v>
      </c>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ht="13.5" thickBot="1">
      <c r="A25" s="33"/>
      <c r="B25" s="33"/>
      <c r="C25" s="33"/>
      <c r="D25" s="33"/>
      <c r="E25" s="33"/>
      <c r="F25" s="33"/>
      <c r="G25" s="33"/>
      <c r="H25" s="33"/>
      <c r="I25" s="33"/>
      <c r="J25" s="33"/>
      <c r="K25" s="33"/>
      <c r="L25" s="33"/>
      <c r="M25" s="33"/>
      <c r="N25" s="33"/>
      <c r="O25" s="63" t="s">
        <v>32</v>
      </c>
      <c r="P25" s="75">
        <v>0</v>
      </c>
      <c r="Q25" s="33"/>
      <c r="R25" s="33"/>
      <c r="S25" s="33"/>
      <c r="T25" s="33"/>
      <c r="U25" s="33"/>
      <c r="V25" s="33"/>
      <c r="W25" s="33"/>
      <c r="X25" s="33"/>
      <c r="Y25" s="33"/>
      <c r="Z25" s="33"/>
      <c r="AA25" s="33"/>
      <c r="AB25" s="33"/>
      <c r="AC25" s="33"/>
      <c r="AD25" s="33"/>
      <c r="AE25" s="33"/>
      <c r="AF25" s="33"/>
      <c r="AG25" s="33"/>
      <c r="AH25" s="33"/>
      <c r="AI25" s="33"/>
      <c r="AJ25" s="33"/>
      <c r="AK25" s="33"/>
      <c r="AL25" s="33"/>
      <c r="AM25" s="33"/>
      <c r="AN25" s="33"/>
    </row>
    <row r="26" spans="1:40" ht="13.5" thickBot="1">
      <c r="A26" s="33"/>
      <c r="B26" s="33"/>
      <c r="C26" s="33"/>
      <c r="D26" s="33"/>
      <c r="E26" s="33"/>
      <c r="F26" s="33"/>
      <c r="G26" s="33"/>
      <c r="H26" s="33"/>
      <c r="I26" s="33"/>
      <c r="J26" s="33"/>
      <c r="K26" s="33"/>
      <c r="L26" s="33"/>
      <c r="M26" s="33"/>
      <c r="N26" s="33"/>
      <c r="O26" s="73" t="s">
        <v>41</v>
      </c>
      <c r="P26" s="77">
        <v>500</v>
      </c>
      <c r="Q26" s="33"/>
      <c r="R26" s="33"/>
      <c r="S26" s="33"/>
      <c r="T26" s="33"/>
      <c r="U26" s="33"/>
      <c r="V26" s="33"/>
      <c r="W26" s="33"/>
      <c r="X26" s="33"/>
      <c r="Y26" s="33"/>
      <c r="Z26" s="33"/>
      <c r="AA26" s="33"/>
      <c r="AB26" s="33"/>
      <c r="AC26" s="33"/>
      <c r="AD26" s="33"/>
      <c r="AE26" s="33"/>
      <c r="AF26" s="33"/>
      <c r="AG26" s="33"/>
      <c r="AH26" s="33"/>
      <c r="AI26" s="33"/>
      <c r="AJ26" s="33"/>
      <c r="AK26" s="33"/>
      <c r="AL26" s="33"/>
      <c r="AM26" s="33"/>
      <c r="AN26" s="33"/>
    </row>
    <row r="27" spans="1:40" ht="12.75">
      <c r="A27" s="33"/>
      <c r="B27" s="33"/>
      <c r="C27" s="33"/>
      <c r="D27" s="33"/>
      <c r="E27" s="33"/>
      <c r="F27" s="33"/>
      <c r="G27" s="33"/>
      <c r="H27" s="33"/>
      <c r="I27" s="33"/>
      <c r="J27" s="33"/>
      <c r="K27" s="33"/>
      <c r="L27" s="33"/>
      <c r="M27" s="33"/>
      <c r="N27" s="33"/>
      <c r="O27" s="37" t="s">
        <v>33</v>
      </c>
      <c r="P27" s="35"/>
      <c r="Q27" s="33"/>
      <c r="R27" s="33"/>
      <c r="S27" s="33"/>
      <c r="T27" s="33"/>
      <c r="U27" s="33"/>
      <c r="V27" s="33"/>
      <c r="W27" s="33"/>
      <c r="X27" s="33"/>
      <c r="Y27" s="33"/>
      <c r="Z27" s="33"/>
      <c r="AA27" s="33"/>
      <c r="AB27" s="33"/>
      <c r="AC27" s="33"/>
      <c r="AD27" s="33"/>
      <c r="AE27" s="33"/>
      <c r="AF27" s="33"/>
      <c r="AG27" s="33"/>
      <c r="AH27" s="33"/>
      <c r="AI27" s="33"/>
      <c r="AJ27" s="33"/>
      <c r="AK27" s="33"/>
      <c r="AL27" s="33"/>
      <c r="AM27" s="33"/>
      <c r="AN27" s="33"/>
    </row>
    <row r="28" spans="1:40" ht="12.75">
      <c r="A28" s="33"/>
      <c r="B28" s="33"/>
      <c r="C28" s="33"/>
      <c r="D28" s="33"/>
      <c r="E28" s="33"/>
      <c r="F28" s="33"/>
      <c r="G28" s="33"/>
      <c r="H28" s="33"/>
      <c r="I28" s="33"/>
      <c r="J28" s="33"/>
      <c r="K28" s="33"/>
      <c r="L28" s="33"/>
      <c r="M28" s="33"/>
      <c r="N28" s="33"/>
      <c r="O28" s="63" t="s">
        <v>112</v>
      </c>
      <c r="P28" s="54">
        <v>0.04</v>
      </c>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ht="12.75">
      <c r="A29" s="33"/>
      <c r="B29" s="33"/>
      <c r="C29" s="33"/>
      <c r="D29" s="33"/>
      <c r="E29" s="33"/>
      <c r="F29" s="33"/>
      <c r="G29" s="33"/>
      <c r="H29" s="33"/>
      <c r="I29" s="33"/>
      <c r="J29" s="33"/>
      <c r="K29" s="33"/>
      <c r="L29" s="33"/>
      <c r="M29" s="33"/>
      <c r="N29" s="33"/>
      <c r="O29" s="63" t="s">
        <v>85</v>
      </c>
      <c r="P29" s="51">
        <v>5</v>
      </c>
      <c r="Q29" s="33"/>
      <c r="R29" s="33"/>
      <c r="S29" s="33"/>
      <c r="T29" s="33"/>
      <c r="U29" s="33"/>
      <c r="V29" s="33"/>
      <c r="W29" s="33"/>
      <c r="X29" s="33"/>
      <c r="Y29" s="33"/>
      <c r="Z29" s="33"/>
      <c r="AA29" s="33"/>
      <c r="AB29" s="33"/>
      <c r="AC29" s="33"/>
      <c r="AD29" s="33"/>
      <c r="AE29" s="33"/>
      <c r="AF29" s="33"/>
      <c r="AG29" s="33"/>
      <c r="AH29" s="33"/>
      <c r="AI29" s="33"/>
      <c r="AJ29" s="33"/>
      <c r="AK29" s="33"/>
      <c r="AL29" s="33"/>
      <c r="AM29" s="33"/>
      <c r="AN29" s="33"/>
    </row>
    <row r="30" spans="1:40" ht="12.75">
      <c r="A30" s="33"/>
      <c r="B30" s="33"/>
      <c r="C30" s="33"/>
      <c r="D30" s="33"/>
      <c r="E30" s="33"/>
      <c r="F30" s="33"/>
      <c r="G30" s="33"/>
      <c r="H30" s="33"/>
      <c r="I30" s="33"/>
      <c r="J30" s="33"/>
      <c r="K30" s="33"/>
      <c r="L30" s="33"/>
      <c r="M30" s="33"/>
      <c r="N30" s="33"/>
      <c r="O30" s="63" t="s">
        <v>36</v>
      </c>
      <c r="P30" s="56">
        <v>150</v>
      </c>
      <c r="Q30" s="33"/>
      <c r="R30" s="33"/>
      <c r="S30" s="33"/>
      <c r="T30" s="33"/>
      <c r="U30" s="33"/>
      <c r="V30" s="33"/>
      <c r="W30" s="33"/>
      <c r="X30" s="33"/>
      <c r="Y30" s="33"/>
      <c r="Z30" s="33"/>
      <c r="AA30" s="33"/>
      <c r="AB30" s="33"/>
      <c r="AC30" s="33"/>
      <c r="AD30" s="33"/>
      <c r="AE30" s="33"/>
      <c r="AF30" s="33"/>
      <c r="AG30" s="33"/>
      <c r="AH30" s="33"/>
      <c r="AI30" s="33"/>
      <c r="AJ30" s="33"/>
      <c r="AK30" s="33"/>
      <c r="AL30" s="33"/>
      <c r="AM30" s="33"/>
      <c r="AN30" s="33"/>
    </row>
    <row r="31" spans="1:40" ht="12.75">
      <c r="A31" s="33"/>
      <c r="B31" s="33"/>
      <c r="C31" s="33"/>
      <c r="D31" s="33"/>
      <c r="E31" s="33"/>
      <c r="F31" s="33"/>
      <c r="G31" s="33"/>
      <c r="H31" s="33"/>
      <c r="I31" s="33"/>
      <c r="J31" s="33"/>
      <c r="K31" s="33"/>
      <c r="L31" s="33"/>
      <c r="M31" s="33"/>
      <c r="N31" s="33"/>
      <c r="O31" s="63" t="s">
        <v>86</v>
      </c>
      <c r="P31" s="52">
        <v>0.2</v>
      </c>
      <c r="Q31" s="33"/>
      <c r="R31" s="33"/>
      <c r="S31" s="33"/>
      <c r="T31" s="33"/>
      <c r="U31" s="33"/>
      <c r="V31" s="33"/>
      <c r="W31" s="33"/>
      <c r="X31" s="33"/>
      <c r="Y31" s="33"/>
      <c r="Z31" s="33"/>
      <c r="AA31" s="33"/>
      <c r="AB31" s="33"/>
      <c r="AC31" s="33"/>
      <c r="AD31" s="33"/>
      <c r="AE31" s="33"/>
      <c r="AF31" s="33"/>
      <c r="AG31" s="33"/>
      <c r="AH31" s="33"/>
      <c r="AI31" s="33"/>
      <c r="AJ31" s="33"/>
      <c r="AK31" s="33"/>
      <c r="AL31" s="33"/>
      <c r="AM31" s="33"/>
      <c r="AN31" s="33"/>
    </row>
    <row r="32" spans="1:40" ht="12.75">
      <c r="A32" s="33"/>
      <c r="B32" s="33"/>
      <c r="C32" s="33"/>
      <c r="D32" s="33"/>
      <c r="E32" s="33"/>
      <c r="F32" s="33"/>
      <c r="G32" s="33"/>
      <c r="H32" s="33"/>
      <c r="I32" s="33"/>
      <c r="J32" s="33"/>
      <c r="K32" s="33"/>
      <c r="L32" s="33"/>
      <c r="M32" s="33"/>
      <c r="N32" s="33"/>
      <c r="O32" s="63" t="s">
        <v>38</v>
      </c>
      <c r="P32" s="53">
        <v>0.1</v>
      </c>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ht="12.75">
      <c r="A33" s="33"/>
      <c r="B33" s="33"/>
      <c r="C33" s="33"/>
      <c r="D33" s="33"/>
      <c r="E33" s="33"/>
      <c r="F33" s="33"/>
      <c r="G33" s="33"/>
      <c r="H33" s="33"/>
      <c r="I33" s="33"/>
      <c r="J33" s="33"/>
      <c r="K33" s="33"/>
      <c r="L33" s="33"/>
      <c r="M33" s="33"/>
      <c r="N33" s="33"/>
      <c r="O33" s="63" t="s">
        <v>39</v>
      </c>
      <c r="P33" s="53">
        <v>0.1</v>
      </c>
      <c r="Q33" s="33"/>
      <c r="R33" s="33"/>
      <c r="S33" s="33"/>
      <c r="T33" s="33"/>
      <c r="U33" s="33"/>
      <c r="V33" s="33"/>
      <c r="W33" s="33"/>
      <c r="X33" s="33"/>
      <c r="Y33" s="33"/>
      <c r="Z33" s="33"/>
      <c r="AA33" s="33"/>
      <c r="AB33" s="33"/>
      <c r="AC33" s="33"/>
      <c r="AD33" s="33"/>
      <c r="AE33" s="33"/>
      <c r="AF33" s="33"/>
      <c r="AG33" s="33"/>
      <c r="AH33" s="33"/>
      <c r="AI33" s="33"/>
      <c r="AJ33" s="33"/>
      <c r="AK33" s="33"/>
      <c r="AL33" s="33"/>
      <c r="AM33" s="33"/>
      <c r="AN33" s="33"/>
    </row>
    <row r="34" spans="1:40" ht="12.75">
      <c r="A34" s="33"/>
      <c r="B34" s="33"/>
      <c r="C34" s="33"/>
      <c r="D34" s="33"/>
      <c r="E34" s="33"/>
      <c r="F34" s="33"/>
      <c r="G34" s="33"/>
      <c r="H34" s="33"/>
      <c r="I34" s="33"/>
      <c r="J34" s="33"/>
      <c r="K34" s="33"/>
      <c r="L34" s="33"/>
      <c r="M34" s="33"/>
      <c r="N34" s="33"/>
      <c r="O34" s="63" t="s">
        <v>40</v>
      </c>
      <c r="P34" s="53">
        <v>0.005</v>
      </c>
      <c r="Q34" s="33"/>
      <c r="R34" s="33"/>
      <c r="S34" s="33"/>
      <c r="T34" s="33"/>
      <c r="U34" s="33"/>
      <c r="V34" s="33"/>
      <c r="W34" s="33"/>
      <c r="X34" s="33"/>
      <c r="Y34" s="33"/>
      <c r="Z34" s="33"/>
      <c r="AA34" s="33"/>
      <c r="AB34" s="33"/>
      <c r="AC34" s="33"/>
      <c r="AD34" s="33"/>
      <c r="AE34" s="33"/>
      <c r="AF34" s="33"/>
      <c r="AG34" s="33"/>
      <c r="AH34" s="33"/>
      <c r="AI34" s="33"/>
      <c r="AJ34" s="33"/>
      <c r="AK34" s="33"/>
      <c r="AL34" s="33"/>
      <c r="AM34" s="33"/>
      <c r="AN34" s="33"/>
    </row>
    <row r="35" spans="1:40" ht="12.75">
      <c r="A35" s="33"/>
      <c r="B35" s="33"/>
      <c r="C35" s="33"/>
      <c r="D35" s="33"/>
      <c r="E35" s="33"/>
      <c r="F35" s="33"/>
      <c r="G35" s="33"/>
      <c r="H35" s="33"/>
      <c r="I35" s="33"/>
      <c r="J35" s="33"/>
      <c r="K35" s="33"/>
      <c r="L35" s="33"/>
      <c r="M35" s="33"/>
      <c r="N35" s="33"/>
      <c r="O35" s="64" t="s">
        <v>24</v>
      </c>
      <c r="P35" s="50">
        <v>0.6425</v>
      </c>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row r="36" spans="1:40" ht="12.75">
      <c r="A36" s="33"/>
      <c r="B36" s="33"/>
      <c r="C36" s="33"/>
      <c r="D36" s="33"/>
      <c r="E36" s="33"/>
      <c r="F36" s="33"/>
      <c r="G36" s="33"/>
      <c r="H36" s="33"/>
      <c r="I36" s="33"/>
      <c r="J36" s="33"/>
      <c r="K36" s="33"/>
      <c r="L36" s="33"/>
      <c r="M36" s="33"/>
      <c r="N36" s="33"/>
      <c r="O36" s="65" t="s">
        <v>25</v>
      </c>
      <c r="P36" s="51">
        <v>947.5</v>
      </c>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row r="37" spans="1:40" ht="12.75">
      <c r="A37" s="33"/>
      <c r="B37" s="33"/>
      <c r="C37" s="33"/>
      <c r="D37" s="33"/>
      <c r="E37" s="33"/>
      <c r="F37" s="33"/>
      <c r="G37" s="33"/>
      <c r="H37" s="33"/>
      <c r="I37" s="33"/>
      <c r="J37" s="33"/>
      <c r="K37" s="33"/>
      <c r="L37" s="33"/>
      <c r="M37" s="33"/>
      <c r="N37" s="33"/>
      <c r="O37" s="66" t="s">
        <v>87</v>
      </c>
      <c r="P37" s="53">
        <v>0.03</v>
      </c>
      <c r="Q37" s="33"/>
      <c r="R37" s="33"/>
      <c r="S37" s="33"/>
      <c r="T37" s="33"/>
      <c r="U37" s="33"/>
      <c r="V37" s="33"/>
      <c r="W37" s="33"/>
      <c r="X37" s="33"/>
      <c r="Y37" s="33"/>
      <c r="Z37" s="33"/>
      <c r="AA37" s="33"/>
      <c r="AB37" s="33"/>
      <c r="AC37" s="33"/>
      <c r="AD37" s="33"/>
      <c r="AE37" s="33"/>
      <c r="AF37" s="33"/>
      <c r="AG37" s="33"/>
      <c r="AH37" s="33"/>
      <c r="AI37" s="33"/>
      <c r="AJ37" s="33"/>
      <c r="AK37" s="33"/>
      <c r="AL37" s="33"/>
      <c r="AM37" s="33"/>
      <c r="AN37" s="33"/>
    </row>
    <row r="38" spans="1:40" ht="12.75">
      <c r="A38" s="33"/>
      <c r="B38" s="33"/>
      <c r="C38" s="33"/>
      <c r="D38" s="33"/>
      <c r="E38" s="33"/>
      <c r="F38" s="33"/>
      <c r="G38" s="33"/>
      <c r="H38" s="33"/>
      <c r="I38" s="33"/>
      <c r="J38" s="33"/>
      <c r="K38" s="33"/>
      <c r="L38" s="33"/>
      <c r="M38" s="33"/>
      <c r="N38" s="33"/>
      <c r="O38" s="66" t="s">
        <v>125</v>
      </c>
      <c r="P38" s="52">
        <v>5</v>
      </c>
      <c r="Q38" s="33"/>
      <c r="R38" s="33"/>
      <c r="S38" s="33"/>
      <c r="T38" s="33"/>
      <c r="U38" s="33"/>
      <c r="V38" s="33"/>
      <c r="W38" s="33"/>
      <c r="X38" s="33"/>
      <c r="Y38" s="33"/>
      <c r="Z38" s="33"/>
      <c r="AA38" s="33"/>
      <c r="AB38" s="33"/>
      <c r="AC38" s="33"/>
      <c r="AD38" s="33"/>
      <c r="AE38" s="33"/>
      <c r="AF38" s="33"/>
      <c r="AG38" s="33"/>
      <c r="AH38" s="33"/>
      <c r="AI38" s="33"/>
      <c r="AJ38" s="33"/>
      <c r="AK38" s="33"/>
      <c r="AL38" s="33"/>
      <c r="AM38" s="33"/>
      <c r="AN38" s="33"/>
    </row>
    <row r="39" spans="1:40" ht="12.75">
      <c r="A39" s="33"/>
      <c r="B39" s="33"/>
      <c r="C39" s="33"/>
      <c r="D39" s="33"/>
      <c r="E39" s="33"/>
      <c r="F39" s="33"/>
      <c r="G39" s="33"/>
      <c r="H39" s="33"/>
      <c r="I39" s="33"/>
      <c r="J39" s="33"/>
      <c r="K39" s="33"/>
      <c r="L39" s="33"/>
      <c r="M39" s="33"/>
      <c r="N39" s="33"/>
      <c r="O39" s="64" t="s">
        <v>29</v>
      </c>
      <c r="P39" s="52">
        <v>1</v>
      </c>
      <c r="Q39" s="33"/>
      <c r="R39" s="33"/>
      <c r="S39" s="33"/>
      <c r="T39" s="33"/>
      <c r="U39" s="33"/>
      <c r="V39" s="33"/>
      <c r="W39" s="33"/>
      <c r="X39" s="33"/>
      <c r="Y39" s="33"/>
      <c r="Z39" s="33"/>
      <c r="AA39" s="33"/>
      <c r="AB39" s="33"/>
      <c r="AC39" s="33"/>
      <c r="AD39" s="33"/>
      <c r="AE39" s="33"/>
      <c r="AF39" s="33"/>
      <c r="AG39" s="33"/>
      <c r="AH39" s="33"/>
      <c r="AI39" s="33"/>
      <c r="AJ39" s="33"/>
      <c r="AK39" s="33"/>
      <c r="AL39" s="33"/>
      <c r="AM39" s="33"/>
      <c r="AN39" s="33"/>
    </row>
    <row r="40" spans="1:40" ht="15">
      <c r="A40" s="33"/>
      <c r="B40" s="33"/>
      <c r="C40" s="33"/>
      <c r="D40" s="33"/>
      <c r="E40" s="33"/>
      <c r="F40" s="33"/>
      <c r="G40" s="33"/>
      <c r="H40" s="33"/>
      <c r="I40" s="33"/>
      <c r="J40" s="33"/>
      <c r="K40" s="33"/>
      <c r="L40" s="33"/>
      <c r="M40" s="33"/>
      <c r="N40" s="33"/>
      <c r="O40" s="38"/>
      <c r="P40" s="39"/>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ht="15">
      <c r="A41" s="33"/>
      <c r="B41" s="33"/>
      <c r="C41" s="33"/>
      <c r="D41" s="33"/>
      <c r="E41" s="33"/>
      <c r="F41" s="33"/>
      <c r="G41" s="33"/>
      <c r="H41" s="33"/>
      <c r="I41" s="33"/>
      <c r="J41" s="33"/>
      <c r="K41" s="33"/>
      <c r="L41" s="33"/>
      <c r="M41" s="33"/>
      <c r="N41" s="33"/>
      <c r="O41" s="40" t="s">
        <v>27</v>
      </c>
      <c r="P41" s="40"/>
      <c r="Q41" s="33"/>
      <c r="R41" s="33"/>
      <c r="S41" s="33"/>
      <c r="T41" s="33"/>
      <c r="U41" s="33"/>
      <c r="V41" s="33"/>
      <c r="W41" s="33"/>
      <c r="X41" s="33"/>
      <c r="Y41" s="33"/>
      <c r="Z41" s="33"/>
      <c r="AA41" s="33"/>
      <c r="AB41" s="33"/>
      <c r="AC41" s="33"/>
      <c r="AD41" s="33"/>
      <c r="AE41" s="33"/>
      <c r="AF41" s="33"/>
      <c r="AG41" s="33"/>
      <c r="AH41" s="33"/>
      <c r="AI41" s="33"/>
      <c r="AJ41" s="33"/>
      <c r="AK41" s="33"/>
      <c r="AL41" s="33"/>
      <c r="AM41" s="33"/>
      <c r="AN41" s="33"/>
    </row>
    <row r="42" spans="1:40" ht="15.75" customHeight="1">
      <c r="A42" s="33"/>
      <c r="B42" s="33"/>
      <c r="C42" s="33"/>
      <c r="D42" s="33"/>
      <c r="E42" s="33"/>
      <c r="F42" s="33"/>
      <c r="G42" s="33"/>
      <c r="H42" s="33"/>
      <c r="I42" s="33"/>
      <c r="J42" s="33"/>
      <c r="K42" s="33"/>
      <c r="L42" s="33"/>
      <c r="M42" s="33"/>
      <c r="N42" s="33"/>
      <c r="O42" s="60" t="s">
        <v>28</v>
      </c>
      <c r="P42" s="57">
        <f>'Stocker Calculations'!BB75</f>
        <v>18.94109589041096</v>
      </c>
      <c r="Q42" s="33"/>
      <c r="R42" s="33"/>
      <c r="S42" s="33"/>
      <c r="T42" s="33"/>
      <c r="U42" s="33"/>
      <c r="V42" s="33"/>
      <c r="W42" s="33"/>
      <c r="X42" s="33"/>
      <c r="Y42" s="33"/>
      <c r="Z42" s="33"/>
      <c r="AA42" s="33"/>
      <c r="AB42" s="33"/>
      <c r="AC42" s="33"/>
      <c r="AD42" s="33"/>
      <c r="AE42" s="33"/>
      <c r="AF42" s="33"/>
      <c r="AG42" s="33"/>
      <c r="AH42" s="33"/>
      <c r="AI42" s="33"/>
      <c r="AJ42" s="33"/>
      <c r="AK42" s="33"/>
      <c r="AL42" s="33"/>
      <c r="AM42" s="33"/>
      <c r="AN42" s="33"/>
    </row>
    <row r="43" spans="1:40" ht="12.75">
      <c r="A43" s="33"/>
      <c r="B43" s="33"/>
      <c r="C43" s="33"/>
      <c r="D43" s="33"/>
      <c r="E43" s="33"/>
      <c r="F43" s="33"/>
      <c r="G43" s="33"/>
      <c r="H43" s="33"/>
      <c r="I43" s="33"/>
      <c r="J43" s="33"/>
      <c r="K43" s="33"/>
      <c r="L43" s="33"/>
      <c r="M43" s="33"/>
      <c r="N43" s="33"/>
      <c r="O43" s="60" t="s">
        <v>139</v>
      </c>
      <c r="P43" s="58">
        <f>IF(P18&gt;0,'Stocker Calculations'!BB79,"")</f>
      </c>
      <c r="Q43" s="33"/>
      <c r="R43" s="33"/>
      <c r="S43" s="33"/>
      <c r="T43" s="33"/>
      <c r="U43" s="33"/>
      <c r="V43" s="33"/>
      <c r="W43" s="33"/>
      <c r="X43" s="33"/>
      <c r="Y43" s="33"/>
      <c r="Z43" s="33"/>
      <c r="AA43" s="33"/>
      <c r="AB43" s="33"/>
      <c r="AC43" s="33"/>
      <c r="AD43" s="33"/>
      <c r="AE43" s="33"/>
      <c r="AF43" s="33"/>
      <c r="AG43" s="33"/>
      <c r="AH43" s="33"/>
      <c r="AI43" s="33"/>
      <c r="AJ43" s="33"/>
      <c r="AK43" s="33"/>
      <c r="AL43" s="33"/>
      <c r="AM43" s="33"/>
      <c r="AN43" s="33"/>
    </row>
    <row r="44" spans="1:40" ht="12.75">
      <c r="A44" s="33"/>
      <c r="B44" s="33"/>
      <c r="C44" s="33"/>
      <c r="D44" s="33"/>
      <c r="E44" s="33"/>
      <c r="F44" s="33"/>
      <c r="G44" s="33"/>
      <c r="H44" s="33"/>
      <c r="I44" s="33"/>
      <c r="J44" s="33"/>
      <c r="K44" s="33"/>
      <c r="L44" s="33"/>
      <c r="M44" s="33"/>
      <c r="N44" s="33"/>
      <c r="O44" s="60" t="s">
        <v>140</v>
      </c>
      <c r="P44" s="58">
        <f>'Stocker Calculations'!BB83</f>
        <v>2.7868487499999994</v>
      </c>
      <c r="Q44" s="33"/>
      <c r="R44" s="33"/>
      <c r="S44" s="33"/>
      <c r="T44" s="33"/>
      <c r="U44" s="33"/>
      <c r="V44" s="33"/>
      <c r="W44" s="33"/>
      <c r="X44" s="33"/>
      <c r="Y44" s="33"/>
      <c r="Z44" s="33"/>
      <c r="AA44" s="33"/>
      <c r="AB44" s="33"/>
      <c r="AC44" s="33"/>
      <c r="AD44" s="33"/>
      <c r="AE44" s="33"/>
      <c r="AF44" s="33"/>
      <c r="AG44" s="33"/>
      <c r="AH44" s="33"/>
      <c r="AI44" s="33"/>
      <c r="AJ44" s="33"/>
      <c r="AK44" s="33"/>
      <c r="AL44" s="33"/>
      <c r="AM44" s="33"/>
      <c r="AN44" s="33"/>
    </row>
    <row r="45" spans="1:40" ht="12.75">
      <c r="A45" s="33"/>
      <c r="B45" s="33"/>
      <c r="C45" s="33"/>
      <c r="D45" s="33"/>
      <c r="E45" s="33"/>
      <c r="F45" s="33"/>
      <c r="G45" s="33"/>
      <c r="H45" s="33"/>
      <c r="I45" s="33"/>
      <c r="J45" s="33"/>
      <c r="K45" s="33"/>
      <c r="L45" s="33"/>
      <c r="M45" s="33"/>
      <c r="N45" s="33"/>
      <c r="O45" s="60" t="s">
        <v>141</v>
      </c>
      <c r="P45" s="58">
        <f>'Stocker Calculations'!BB88</f>
        <v>2.4543487499999994</v>
      </c>
      <c r="Q45" s="33"/>
      <c r="R45" s="33"/>
      <c r="S45" s="33"/>
      <c r="T45" s="33"/>
      <c r="U45" s="33"/>
      <c r="V45" s="33"/>
      <c r="W45" s="33"/>
      <c r="X45" s="33"/>
      <c r="Y45" s="33"/>
      <c r="Z45" s="33"/>
      <c r="AA45" s="33"/>
      <c r="AB45" s="33"/>
      <c r="AC45" s="33"/>
      <c r="AD45" s="33"/>
      <c r="AE45" s="33"/>
      <c r="AF45" s="33"/>
      <c r="AG45" s="33"/>
      <c r="AH45" s="33"/>
      <c r="AI45" s="33"/>
      <c r="AJ45" s="33"/>
      <c r="AK45" s="33"/>
      <c r="AL45" s="33"/>
      <c r="AM45" s="33"/>
      <c r="AN45" s="33"/>
    </row>
    <row r="46" spans="1:40" ht="12.75">
      <c r="A46" s="33"/>
      <c r="B46" s="33"/>
      <c r="C46" s="33"/>
      <c r="D46" s="33"/>
      <c r="E46" s="33"/>
      <c r="F46" s="33"/>
      <c r="G46" s="33"/>
      <c r="H46" s="33"/>
      <c r="I46" s="33"/>
      <c r="J46" s="33"/>
      <c r="K46" s="33"/>
      <c r="L46" s="33"/>
      <c r="M46" s="33"/>
      <c r="N46" s="33"/>
      <c r="O46" s="60" t="s">
        <v>100</v>
      </c>
      <c r="P46" s="58">
        <f>'Stocker Calculations'!BB82</f>
        <v>0</v>
      </c>
      <c r="Q46" s="33"/>
      <c r="R46" s="33"/>
      <c r="S46" s="33"/>
      <c r="T46" s="33"/>
      <c r="U46" s="33"/>
      <c r="V46" s="33"/>
      <c r="W46" s="33"/>
      <c r="X46" s="33"/>
      <c r="Y46" s="33"/>
      <c r="Z46" s="33"/>
      <c r="AA46" s="33"/>
      <c r="AB46" s="33"/>
      <c r="AC46" s="33"/>
      <c r="AD46" s="33"/>
      <c r="AE46" s="33"/>
      <c r="AF46" s="33"/>
      <c r="AG46" s="33"/>
      <c r="AH46" s="33"/>
      <c r="AI46" s="33"/>
      <c r="AJ46" s="33"/>
      <c r="AK46" s="33"/>
      <c r="AL46" s="33"/>
      <c r="AM46" s="33"/>
      <c r="AN46" s="33"/>
    </row>
    <row r="47" spans="1:40" ht="12.75">
      <c r="A47" s="33"/>
      <c r="B47" s="33"/>
      <c r="C47" s="33"/>
      <c r="D47" s="33"/>
      <c r="E47" s="33"/>
      <c r="F47" s="33"/>
      <c r="G47" s="33"/>
      <c r="H47" s="33"/>
      <c r="I47" s="33"/>
      <c r="J47" s="33"/>
      <c r="K47" s="33"/>
      <c r="L47" s="33"/>
      <c r="M47" s="33"/>
      <c r="N47" s="33"/>
      <c r="O47" s="60" t="s">
        <v>101</v>
      </c>
      <c r="P47" s="58">
        <f>'Stocker Calculations'!BB86</f>
        <v>748.125</v>
      </c>
      <c r="Q47" s="33"/>
      <c r="R47" s="33"/>
      <c r="S47" s="33"/>
      <c r="T47" s="33"/>
      <c r="U47" s="33"/>
      <c r="V47" s="33"/>
      <c r="W47" s="33"/>
      <c r="X47" s="33"/>
      <c r="Y47" s="33"/>
      <c r="Z47" s="33"/>
      <c r="AA47" s="33"/>
      <c r="AB47" s="33"/>
      <c r="AC47" s="33"/>
      <c r="AD47" s="33"/>
      <c r="AE47" s="33"/>
      <c r="AF47" s="33"/>
      <c r="AG47" s="33"/>
      <c r="AH47" s="33"/>
      <c r="AI47" s="33"/>
      <c r="AJ47" s="33"/>
      <c r="AK47" s="33"/>
      <c r="AL47" s="33"/>
      <c r="AM47" s="33"/>
      <c r="AN47" s="33"/>
    </row>
    <row r="48" spans="1:40" ht="12.75">
      <c r="A48" s="33"/>
      <c r="B48" s="33"/>
      <c r="C48" s="33"/>
      <c r="D48" s="33"/>
      <c r="E48" s="33"/>
      <c r="F48" s="33"/>
      <c r="G48" s="33"/>
      <c r="H48" s="33"/>
      <c r="I48" s="33"/>
      <c r="J48" s="33"/>
      <c r="K48" s="33"/>
      <c r="L48" s="33"/>
      <c r="M48" s="33"/>
      <c r="N48" s="33"/>
      <c r="O48" s="61" t="s">
        <v>138</v>
      </c>
      <c r="P48" s="58">
        <f>IF(P18&gt;0,'Stocker Calculations'!BB90,"")</f>
      </c>
      <c r="Q48" s="33"/>
      <c r="R48" s="33"/>
      <c r="S48" s="33"/>
      <c r="T48" s="33"/>
      <c r="U48" s="33"/>
      <c r="V48" s="33"/>
      <c r="W48" s="33"/>
      <c r="X48" s="33"/>
      <c r="Y48" s="33"/>
      <c r="Z48" s="33"/>
      <c r="AA48" s="33"/>
      <c r="AB48" s="33"/>
      <c r="AC48" s="33"/>
      <c r="AD48" s="33"/>
      <c r="AE48" s="33"/>
      <c r="AF48" s="33"/>
      <c r="AG48" s="33"/>
      <c r="AH48" s="33"/>
      <c r="AI48" s="33"/>
      <c r="AJ48" s="33"/>
      <c r="AK48" s="33"/>
      <c r="AL48" s="33"/>
      <c r="AM48" s="33"/>
      <c r="AN48" s="33"/>
    </row>
    <row r="49" spans="1:40" ht="12.75">
      <c r="A49" s="33"/>
      <c r="B49" s="33"/>
      <c r="C49" s="33"/>
      <c r="D49" s="33"/>
      <c r="E49" s="33"/>
      <c r="F49" s="33"/>
      <c r="G49" s="33"/>
      <c r="H49" s="33"/>
      <c r="I49" s="33"/>
      <c r="J49" s="33"/>
      <c r="K49" s="33"/>
      <c r="L49" s="33"/>
      <c r="M49" s="33"/>
      <c r="N49" s="33"/>
      <c r="O49" s="61" t="s">
        <v>135</v>
      </c>
      <c r="P49" s="59">
        <f>IF(P18&gt;0,'Stocker Calculations'!BB116,"")</f>
      </c>
      <c r="Q49" s="33"/>
      <c r="R49" s="33"/>
      <c r="S49" s="33"/>
      <c r="T49" s="33"/>
      <c r="U49" s="33"/>
      <c r="V49" s="33"/>
      <c r="W49" s="33"/>
      <c r="X49" s="33"/>
      <c r="Y49" s="33"/>
      <c r="Z49" s="33"/>
      <c r="AA49" s="33"/>
      <c r="AB49" s="33"/>
      <c r="AC49" s="33"/>
      <c r="AD49" s="33"/>
      <c r="AE49" s="33"/>
      <c r="AF49" s="33"/>
      <c r="AG49" s="33"/>
      <c r="AH49" s="33"/>
      <c r="AI49" s="33"/>
      <c r="AJ49" s="33"/>
      <c r="AK49" s="33"/>
      <c r="AL49" s="33"/>
      <c r="AM49" s="33"/>
      <c r="AN49" s="33"/>
    </row>
    <row r="50" spans="1:40" ht="12.75">
      <c r="A50" s="33"/>
      <c r="B50" s="33"/>
      <c r="C50" s="33"/>
      <c r="D50" s="33"/>
      <c r="E50" s="33"/>
      <c r="F50" s="33"/>
      <c r="G50" s="33"/>
      <c r="H50" s="33"/>
      <c r="I50" s="33"/>
      <c r="J50" s="33"/>
      <c r="K50" s="33"/>
      <c r="L50" s="33"/>
      <c r="M50" s="33"/>
      <c r="N50" s="33"/>
      <c r="O50" s="61" t="s">
        <v>136</v>
      </c>
      <c r="P50" s="59">
        <f>IF(P18&gt;0,'Stocker Calculations'!BB118,'Stocker Calculations'!BB120)</f>
        <v>0.2957716058185964</v>
      </c>
      <c r="Q50" s="33"/>
      <c r="R50" s="33"/>
      <c r="S50" s="33"/>
      <c r="T50" s="33"/>
      <c r="U50" s="33"/>
      <c r="V50" s="33"/>
      <c r="W50" s="33"/>
      <c r="X50" s="33"/>
      <c r="Y50" s="33"/>
      <c r="Z50" s="33"/>
      <c r="AA50" s="33"/>
      <c r="AB50" s="33"/>
      <c r="AC50" s="33"/>
      <c r="AD50" s="33"/>
      <c r="AE50" s="33"/>
      <c r="AF50" s="33"/>
      <c r="AG50" s="33"/>
      <c r="AH50" s="33"/>
      <c r="AI50" s="33"/>
      <c r="AJ50" s="33"/>
      <c r="AK50" s="33"/>
      <c r="AL50" s="33"/>
      <c r="AM50" s="33"/>
      <c r="AN50" s="33"/>
    </row>
    <row r="51" spans="1:40" ht="12.75">
      <c r="A51" s="33"/>
      <c r="B51" s="33"/>
      <c r="C51" s="33"/>
      <c r="D51" s="33"/>
      <c r="E51" s="33"/>
      <c r="F51" s="33"/>
      <c r="G51" s="33"/>
      <c r="H51" s="33"/>
      <c r="I51" s="33"/>
      <c r="J51" s="33"/>
      <c r="K51" s="33"/>
      <c r="L51" s="33"/>
      <c r="M51" s="33"/>
      <c r="N51" s="33"/>
      <c r="O51" s="61" t="s">
        <v>137</v>
      </c>
      <c r="P51" s="59">
        <f>'Stocker Calculations'!BB120</f>
        <v>0.2957716058185964</v>
      </c>
      <c r="Q51" s="33"/>
      <c r="R51" s="33"/>
      <c r="S51" s="33"/>
      <c r="T51" s="33"/>
      <c r="U51" s="33"/>
      <c r="V51" s="33"/>
      <c r="W51" s="33"/>
      <c r="X51" s="33"/>
      <c r="Y51" s="33"/>
      <c r="Z51" s="33"/>
      <c r="AA51" s="33"/>
      <c r="AB51" s="33"/>
      <c r="AC51" s="33"/>
      <c r="AD51" s="33"/>
      <c r="AE51" s="33"/>
      <c r="AF51" s="33"/>
      <c r="AG51" s="33"/>
      <c r="AH51" s="33"/>
      <c r="AI51" s="33"/>
      <c r="AJ51" s="33"/>
      <c r="AK51" s="33"/>
      <c r="AL51" s="33"/>
      <c r="AM51" s="33"/>
      <c r="AN51" s="33"/>
    </row>
    <row r="52" spans="1:40" ht="12.75">
      <c r="A52" s="33"/>
      <c r="B52" s="33"/>
      <c r="C52" s="33"/>
      <c r="D52" s="33"/>
      <c r="E52" s="33"/>
      <c r="F52" s="33"/>
      <c r="G52" s="33"/>
      <c r="H52" s="33"/>
      <c r="I52" s="33"/>
      <c r="J52" s="33"/>
      <c r="K52" s="33"/>
      <c r="L52" s="33"/>
      <c r="M52" s="33"/>
      <c r="N52" s="33"/>
      <c r="O52" s="60" t="s">
        <v>75</v>
      </c>
      <c r="P52" s="57">
        <f>'Stocker Calculations'!BB114</f>
        <v>66.43706317208898</v>
      </c>
      <c r="Q52" s="33"/>
      <c r="R52" s="33"/>
      <c r="S52" s="33"/>
      <c r="T52" s="33"/>
      <c r="U52" s="33"/>
      <c r="V52" s="33"/>
      <c r="W52" s="33"/>
      <c r="X52" s="33"/>
      <c r="Y52" s="33"/>
      <c r="Z52" s="33"/>
      <c r="AA52" s="33"/>
      <c r="AB52" s="33"/>
      <c r="AC52" s="33"/>
      <c r="AD52" s="33"/>
      <c r="AE52" s="33"/>
      <c r="AF52" s="33"/>
      <c r="AG52" s="33"/>
      <c r="AH52" s="33"/>
      <c r="AI52" s="33"/>
      <c r="AJ52" s="33"/>
      <c r="AK52" s="33"/>
      <c r="AL52" s="33"/>
      <c r="AM52" s="33"/>
      <c r="AN52" s="33"/>
    </row>
    <row r="53" spans="1:40" ht="12.7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row>
    <row r="54" spans="1:40" ht="12.75">
      <c r="A54" s="33"/>
      <c r="B54" s="33"/>
      <c r="C54" s="33"/>
      <c r="D54" s="33"/>
      <c r="E54" s="33"/>
      <c r="F54" s="33"/>
      <c r="G54" s="33"/>
      <c r="H54" s="33"/>
      <c r="I54" s="33"/>
      <c r="J54" s="33"/>
      <c r="K54" s="33"/>
      <c r="L54" s="33"/>
      <c r="M54" s="33"/>
      <c r="N54" s="33"/>
      <c r="O54" s="34"/>
      <c r="P54" s="42"/>
      <c r="Q54" s="33"/>
      <c r="R54" s="33"/>
      <c r="S54" s="33"/>
      <c r="T54" s="33"/>
      <c r="U54" s="33"/>
      <c r="V54" s="33"/>
      <c r="W54" s="33"/>
      <c r="X54" s="33"/>
      <c r="Y54" s="33"/>
      <c r="Z54" s="33"/>
      <c r="AA54" s="33"/>
      <c r="AB54" s="33"/>
      <c r="AC54" s="33"/>
      <c r="AD54" s="33"/>
      <c r="AE54" s="33"/>
      <c r="AF54" s="33"/>
      <c r="AG54" s="33"/>
      <c r="AH54" s="33"/>
      <c r="AI54" s="33"/>
      <c r="AJ54" s="33"/>
      <c r="AK54" s="33"/>
      <c r="AL54" s="33"/>
      <c r="AM54" s="33"/>
      <c r="AN54" s="33"/>
    </row>
    <row r="55" spans="1:40" ht="12.7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row>
    <row r="56" spans="1:40" ht="12.7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row>
    <row r="57" spans="1:40" ht="12.7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row>
    <row r="58" spans="1:40" ht="12.75">
      <c r="A58" s="33"/>
      <c r="B58" s="33"/>
      <c r="C58" s="33"/>
      <c r="D58" s="33"/>
      <c r="E58" s="33"/>
      <c r="F58" s="33"/>
      <c r="G58" s="33"/>
      <c r="H58" s="33"/>
      <c r="I58" s="33"/>
      <c r="J58" s="33"/>
      <c r="K58" s="33"/>
      <c r="L58" s="33"/>
      <c r="M58" s="33"/>
      <c r="N58" s="33"/>
      <c r="O58" s="33"/>
      <c r="P58" s="41"/>
      <c r="Q58" s="33"/>
      <c r="R58" s="33"/>
      <c r="S58" s="33"/>
      <c r="T58" s="33"/>
      <c r="U58" s="33"/>
      <c r="V58" s="33"/>
      <c r="W58" s="33"/>
      <c r="X58" s="33"/>
      <c r="Y58" s="33"/>
      <c r="Z58" s="33"/>
      <c r="AA58" s="33"/>
      <c r="AB58" s="33"/>
      <c r="AC58" s="33"/>
      <c r="AD58" s="33"/>
      <c r="AE58" s="33"/>
      <c r="AF58" s="33"/>
      <c r="AG58" s="33"/>
      <c r="AH58" s="33"/>
      <c r="AI58" s="33"/>
      <c r="AJ58" s="33"/>
      <c r="AK58" s="33"/>
      <c r="AL58" s="33"/>
      <c r="AM58" s="33"/>
      <c r="AN58" s="33"/>
    </row>
    <row r="59" spans="1:40" ht="12.7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row>
    <row r="60" spans="1:40" ht="12.7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1:40" ht="12.7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row>
    <row r="62" spans="1:40" ht="12.7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row>
    <row r="63" spans="1:40" ht="12.7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row>
    <row r="64" spans="1:40" ht="12.7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row>
    <row r="65" spans="1:40" ht="12.7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row>
    <row r="66" spans="1:40" ht="12.7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row>
    <row r="67" spans="1:40" ht="15">
      <c r="A67" s="33"/>
      <c r="B67" s="33"/>
      <c r="C67" s="33"/>
      <c r="D67" s="33"/>
      <c r="E67" s="33"/>
      <c r="F67" s="33"/>
      <c r="G67" s="33"/>
      <c r="H67" s="33"/>
      <c r="I67" s="33"/>
      <c r="J67" s="33"/>
      <c r="K67" s="33"/>
      <c r="L67" s="33"/>
      <c r="M67" s="33"/>
      <c r="N67" s="33"/>
      <c r="O67" s="85"/>
      <c r="P67" s="85"/>
      <c r="Q67" s="85"/>
      <c r="R67" s="85"/>
      <c r="S67" s="33"/>
      <c r="T67" s="33"/>
      <c r="U67" s="33"/>
      <c r="V67" s="33"/>
      <c r="W67" s="33"/>
      <c r="X67" s="33"/>
      <c r="Y67" s="33"/>
      <c r="Z67" s="33"/>
      <c r="AA67" s="33"/>
      <c r="AB67" s="33"/>
      <c r="AC67" s="33"/>
      <c r="AD67" s="33"/>
      <c r="AE67" s="33"/>
      <c r="AF67" s="33"/>
      <c r="AG67" s="33"/>
      <c r="AH67" s="33"/>
      <c r="AI67" s="33"/>
      <c r="AJ67" s="33"/>
      <c r="AK67" s="33"/>
      <c r="AL67" s="33"/>
      <c r="AM67" s="33"/>
      <c r="AN67" s="33"/>
    </row>
    <row r="68" spans="1:56" ht="15.75" customHeight="1">
      <c r="A68" s="33"/>
      <c r="B68" s="33"/>
      <c r="C68" s="33"/>
      <c r="D68" s="33"/>
      <c r="E68" s="33"/>
      <c r="F68" s="33"/>
      <c r="G68" s="33"/>
      <c r="H68" s="33"/>
      <c r="I68" s="33"/>
      <c r="J68" s="33"/>
      <c r="K68" s="33"/>
      <c r="L68" s="33"/>
      <c r="M68" s="33"/>
      <c r="N68" s="33"/>
      <c r="O68" s="81"/>
      <c r="P68" s="82"/>
      <c r="Q68" s="82"/>
      <c r="R68" s="82"/>
      <c r="S68" s="33"/>
      <c r="T68" s="33"/>
      <c r="U68" s="33"/>
      <c r="V68" s="33"/>
      <c r="W68" s="33"/>
      <c r="X68" s="33"/>
      <c r="Y68" s="33"/>
      <c r="Z68" s="33"/>
      <c r="AA68" s="33"/>
      <c r="AB68" s="33"/>
      <c r="AC68" s="33"/>
      <c r="AD68" s="33"/>
      <c r="AE68" s="33"/>
      <c r="AF68" s="33"/>
      <c r="AG68" s="33"/>
      <c r="AH68" s="33"/>
      <c r="AI68" s="33"/>
      <c r="AJ68" s="33"/>
      <c r="AK68" s="33"/>
      <c r="AL68" s="33"/>
      <c r="AM68" s="33"/>
      <c r="AN68" s="33"/>
      <c r="BA68" s="12" t="s">
        <v>18</v>
      </c>
      <c r="BC68" s="3" t="s">
        <v>12</v>
      </c>
      <c r="BD68" s="3" t="s">
        <v>13</v>
      </c>
    </row>
    <row r="69" spans="1:40" ht="12.75" customHeight="1" hidden="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row>
    <row r="70" spans="1:55" ht="15.75" customHeight="1">
      <c r="A70" s="33"/>
      <c r="B70" s="33"/>
      <c r="C70" s="33"/>
      <c r="D70" s="33"/>
      <c r="E70" s="33"/>
      <c r="F70" s="33"/>
      <c r="G70" s="33"/>
      <c r="H70" s="33"/>
      <c r="I70" s="33"/>
      <c r="J70" s="33"/>
      <c r="K70" s="33"/>
      <c r="L70" s="33"/>
      <c r="M70" s="33"/>
      <c r="N70" s="33"/>
      <c r="O70" s="86"/>
      <c r="P70" s="87"/>
      <c r="Q70" s="87"/>
      <c r="R70" s="87"/>
      <c r="S70" s="33"/>
      <c r="T70" s="33"/>
      <c r="U70" s="33"/>
      <c r="V70" s="33"/>
      <c r="W70" s="33"/>
      <c r="X70" s="33"/>
      <c r="Y70" s="33"/>
      <c r="Z70" s="33"/>
      <c r="AA70" s="33"/>
      <c r="AB70" s="33"/>
      <c r="AC70" s="33"/>
      <c r="AD70" s="33"/>
      <c r="AE70" s="33"/>
      <c r="AF70" s="33"/>
      <c r="AG70" s="33"/>
      <c r="AH70" s="33"/>
      <c r="AI70" s="33"/>
      <c r="AJ70" s="33"/>
      <c r="AK70" s="33"/>
      <c r="AL70" s="33"/>
      <c r="AM70" s="33"/>
      <c r="AN70" s="33"/>
      <c r="BA70" t="s">
        <v>8</v>
      </c>
      <c r="BB70" s="25">
        <f>'Stocker Calculations'!P10</f>
        <v>0.75</v>
      </c>
      <c r="BC70" s="2">
        <f>(BB70*BB71)</f>
        <v>412.5</v>
      </c>
    </row>
    <row r="71" spans="1:54" ht="15">
      <c r="A71" s="33"/>
      <c r="B71" s="33"/>
      <c r="C71" s="33"/>
      <c r="D71" s="33"/>
      <c r="E71" s="33"/>
      <c r="F71" s="33"/>
      <c r="G71" s="33"/>
      <c r="H71" s="33"/>
      <c r="I71" s="33"/>
      <c r="J71" s="33"/>
      <c r="K71" s="33"/>
      <c r="L71" s="33"/>
      <c r="M71" s="33"/>
      <c r="N71" s="33"/>
      <c r="O71" s="38"/>
      <c r="P71" s="4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BA71" t="s">
        <v>4</v>
      </c>
      <c r="BB71" s="6">
        <f>'Stocker Calculations'!P11</f>
        <v>550</v>
      </c>
    </row>
    <row r="72" spans="1:55" ht="15">
      <c r="A72" s="33"/>
      <c r="B72" s="33"/>
      <c r="C72" s="33"/>
      <c r="D72" s="33"/>
      <c r="E72" s="33"/>
      <c r="F72" s="33"/>
      <c r="G72" s="33"/>
      <c r="H72" s="33"/>
      <c r="I72" s="33"/>
      <c r="J72" s="33"/>
      <c r="K72" s="33"/>
      <c r="L72" s="33"/>
      <c r="M72" s="33"/>
      <c r="N72" s="33"/>
      <c r="O72" s="38"/>
      <c r="P72" s="44"/>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BA72" t="s">
        <v>122</v>
      </c>
      <c r="BB72" s="2">
        <f>'Stocker Calculations'!P12</f>
        <v>3.1</v>
      </c>
      <c r="BC72" s="2">
        <f>BB72</f>
        <v>3.1</v>
      </c>
    </row>
    <row r="73" spans="1:55" ht="15">
      <c r="A73" s="33"/>
      <c r="B73" s="33"/>
      <c r="C73" s="33"/>
      <c r="D73" s="33"/>
      <c r="E73" s="33"/>
      <c r="F73" s="33"/>
      <c r="G73" s="33"/>
      <c r="H73" s="33"/>
      <c r="I73" s="33"/>
      <c r="J73" s="33"/>
      <c r="K73" s="33"/>
      <c r="L73" s="33"/>
      <c r="M73" s="33"/>
      <c r="N73" s="33"/>
      <c r="O73" s="38"/>
      <c r="P73" s="44"/>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BA73" t="s">
        <v>89</v>
      </c>
      <c r="BB73" s="2">
        <f>'Stocker Calculations'!P13</f>
        <v>10</v>
      </c>
      <c r="BC73" s="11">
        <f>(BB73*1)</f>
        <v>10</v>
      </c>
    </row>
    <row r="74" spans="1:54" ht="17.25" customHeight="1">
      <c r="A74" s="33"/>
      <c r="B74" s="33"/>
      <c r="C74" s="33"/>
      <c r="D74" s="33"/>
      <c r="E74" s="33"/>
      <c r="F74" s="33"/>
      <c r="G74" s="33"/>
      <c r="H74" s="33"/>
      <c r="I74" s="33"/>
      <c r="J74" s="33"/>
      <c r="K74" s="33"/>
      <c r="L74" s="33"/>
      <c r="M74" s="33"/>
      <c r="N74" s="33"/>
      <c r="O74" s="85" t="s">
        <v>145</v>
      </c>
      <c r="P74" s="85"/>
      <c r="Q74" s="85"/>
      <c r="R74" s="85"/>
      <c r="S74" s="33"/>
      <c r="T74" s="33"/>
      <c r="U74" s="33"/>
      <c r="V74" s="33"/>
      <c r="W74" s="33"/>
      <c r="X74" s="33"/>
      <c r="Y74" s="33"/>
      <c r="Z74" s="33"/>
      <c r="AA74" s="33"/>
      <c r="AB74" s="33"/>
      <c r="AC74" s="33"/>
      <c r="AD74" s="33"/>
      <c r="AE74" s="33"/>
      <c r="AF74" s="33"/>
      <c r="AG74" s="33"/>
      <c r="AH74" s="33"/>
      <c r="AI74" s="33"/>
      <c r="AJ74" s="33"/>
      <c r="AK74" s="33"/>
      <c r="AL74" s="33"/>
      <c r="AM74" s="33"/>
      <c r="AN74" s="33"/>
      <c r="BA74" t="s">
        <v>9</v>
      </c>
      <c r="BB74" s="4">
        <f>'Stocker Calculations'!P14</f>
        <v>0.1</v>
      </c>
    </row>
    <row r="75" spans="1:55" ht="25.5" customHeight="1">
      <c r="A75" s="33"/>
      <c r="B75" s="33"/>
      <c r="C75" s="33"/>
      <c r="D75" s="33"/>
      <c r="E75" s="33"/>
      <c r="F75" s="33"/>
      <c r="G75" s="33"/>
      <c r="H75" s="33"/>
      <c r="I75" s="33"/>
      <c r="J75" s="33"/>
      <c r="K75" s="33"/>
      <c r="L75" s="33"/>
      <c r="M75" s="33"/>
      <c r="N75" s="33"/>
      <c r="O75" s="81" t="s">
        <v>102</v>
      </c>
      <c r="P75" s="82"/>
      <c r="Q75" s="82"/>
      <c r="R75" s="82"/>
      <c r="S75" s="33"/>
      <c r="T75" s="33"/>
      <c r="U75" s="33"/>
      <c r="V75" s="33"/>
      <c r="W75" s="33"/>
      <c r="X75" s="33"/>
      <c r="Y75" s="33"/>
      <c r="Z75" s="33"/>
      <c r="AA75" s="33"/>
      <c r="AB75" s="33"/>
      <c r="AC75" s="33"/>
      <c r="AD75" s="33"/>
      <c r="AE75" s="33"/>
      <c r="AF75" s="33"/>
      <c r="AG75" s="33"/>
      <c r="AH75" s="33"/>
      <c r="AI75" s="33"/>
      <c r="AJ75" s="33"/>
      <c r="AK75" s="33"/>
      <c r="AL75" s="33"/>
      <c r="AM75" s="33"/>
      <c r="AN75" s="33"/>
      <c r="BA75" t="s">
        <v>11</v>
      </c>
      <c r="BB75" s="9">
        <f>((((BB74/365)*BB95*0.5)*(BC77+BC92+BC96+BC97+BC99+BC100+BC102+BC103+BC73+BC113))+(((BB74/365)*BB95)*(BC70+BC72+BC98)))</f>
        <v>18.94109589041096</v>
      </c>
      <c r="BC75" s="11">
        <f>(1*BB75)</f>
        <v>18.94109589041096</v>
      </c>
    </row>
    <row r="76" spans="1:55" ht="19.5" customHeight="1">
      <c r="A76" s="33"/>
      <c r="B76" s="33"/>
      <c r="C76" s="33"/>
      <c r="D76" s="33"/>
      <c r="E76" s="33"/>
      <c r="F76" s="33"/>
      <c r="G76" s="33"/>
      <c r="H76" s="33"/>
      <c r="I76" s="33"/>
      <c r="J76" s="33"/>
      <c r="K76" s="33"/>
      <c r="L76" s="33"/>
      <c r="M76" s="33"/>
      <c r="N76" s="33"/>
      <c r="O76" s="88" t="s">
        <v>22</v>
      </c>
      <c r="P76" s="82"/>
      <c r="Q76" s="82"/>
      <c r="R76" s="33"/>
      <c r="S76" s="33"/>
      <c r="T76" s="33"/>
      <c r="U76" s="33"/>
      <c r="V76" s="33"/>
      <c r="W76" s="33"/>
      <c r="X76" s="33"/>
      <c r="Y76" s="33"/>
      <c r="Z76" s="33"/>
      <c r="AA76" s="33"/>
      <c r="AB76" s="33"/>
      <c r="AC76" s="33"/>
      <c r="AD76" s="33"/>
      <c r="AE76" s="33"/>
      <c r="AF76" s="33"/>
      <c r="AG76" s="33"/>
      <c r="AH76" s="33"/>
      <c r="AI76" s="33"/>
      <c r="AJ76" s="33"/>
      <c r="AK76" s="33"/>
      <c r="AL76" s="33"/>
      <c r="AM76" s="33"/>
      <c r="AN76" s="33"/>
      <c r="BA76" t="s">
        <v>35</v>
      </c>
      <c r="BB76" s="22">
        <f>'Stocker Calculations'!P18</f>
        <v>0</v>
      </c>
      <c r="BC76" s="2"/>
    </row>
    <row r="77" spans="1:55" ht="12.75">
      <c r="A77" s="33"/>
      <c r="B77" s="33"/>
      <c r="C77" s="33"/>
      <c r="D77" s="33"/>
      <c r="E77" s="33"/>
      <c r="F77" s="33"/>
      <c r="G77" s="33"/>
      <c r="H77" s="33"/>
      <c r="I77" s="33"/>
      <c r="J77" s="33"/>
      <c r="K77" s="33"/>
      <c r="L77" s="33"/>
      <c r="M77" s="33"/>
      <c r="N77" s="33"/>
      <c r="O77" s="68" t="s">
        <v>21</v>
      </c>
      <c r="P77" s="51">
        <v>510</v>
      </c>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BA77" t="s">
        <v>90</v>
      </c>
      <c r="BB77" s="26">
        <f>'Stocker Calculations'!P16</f>
        <v>0</v>
      </c>
      <c r="BC77" s="2">
        <f>(BB77*BB78*BB76)</f>
        <v>0</v>
      </c>
    </row>
    <row r="78" spans="1:54" ht="12.75">
      <c r="A78" s="33"/>
      <c r="B78" s="33"/>
      <c r="C78" s="33"/>
      <c r="D78" s="33"/>
      <c r="E78" s="33"/>
      <c r="F78" s="33"/>
      <c r="G78" s="33"/>
      <c r="H78" s="33"/>
      <c r="I78" s="33"/>
      <c r="J78" s="33"/>
      <c r="K78" s="33"/>
      <c r="L78" s="33"/>
      <c r="M78" s="33"/>
      <c r="N78" s="33"/>
      <c r="O78" s="68" t="s">
        <v>124</v>
      </c>
      <c r="P78" s="52">
        <v>3.5</v>
      </c>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BA78" t="s">
        <v>91</v>
      </c>
      <c r="BB78" s="13">
        <f>'Stocker Calculations'!P17</f>
        <v>0</v>
      </c>
    </row>
    <row r="79" spans="1:54" ht="12.75" customHeight="1">
      <c r="A79" s="33"/>
      <c r="B79" s="33"/>
      <c r="C79" s="33"/>
      <c r="D79" s="33"/>
      <c r="E79" s="33"/>
      <c r="F79" s="33"/>
      <c r="G79" s="33"/>
      <c r="H79" s="33"/>
      <c r="I79" s="33"/>
      <c r="J79" s="33"/>
      <c r="K79" s="33"/>
      <c r="L79" s="33"/>
      <c r="M79" s="33"/>
      <c r="N79" s="33"/>
      <c r="O79" s="69" t="s">
        <v>79</v>
      </c>
      <c r="P79" s="52">
        <v>10</v>
      </c>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BA79" s="5" t="s">
        <v>53</v>
      </c>
      <c r="BB79" s="8" t="e">
        <f>((BB93-BB71)*(1-(BB105*0.5)))/BB76</f>
        <v>#DIV/0!</v>
      </c>
    </row>
    <row r="80" spans="1:54" ht="12.75" customHeight="1">
      <c r="A80" s="33"/>
      <c r="B80" s="33"/>
      <c r="C80" s="33"/>
      <c r="D80" s="33"/>
      <c r="E80" s="33"/>
      <c r="F80" s="33"/>
      <c r="G80" s="33"/>
      <c r="H80" s="33"/>
      <c r="I80" s="33"/>
      <c r="J80" s="33"/>
      <c r="K80" s="33"/>
      <c r="L80" s="33"/>
      <c r="M80" s="33"/>
      <c r="N80" s="33"/>
      <c r="O80" s="69" t="s">
        <v>115</v>
      </c>
      <c r="P80" s="53">
        <v>0.1</v>
      </c>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BA80" s="5" t="s">
        <v>54</v>
      </c>
      <c r="BB80" s="8" t="e">
        <f>((BB93-BB71)/BB76)</f>
        <v>#DIV/0!</v>
      </c>
    </row>
    <row r="81" spans="1:54" ht="12.75" customHeight="1">
      <c r="A81" s="33"/>
      <c r="B81" s="33"/>
      <c r="C81" s="33"/>
      <c r="D81" s="33"/>
      <c r="E81" s="33"/>
      <c r="F81" s="33"/>
      <c r="G81" s="33"/>
      <c r="H81" s="33"/>
      <c r="I81" s="33"/>
      <c r="J81" s="33"/>
      <c r="K81" s="33"/>
      <c r="L81" s="33"/>
      <c r="M81" s="33"/>
      <c r="N81" s="33"/>
      <c r="O81" s="70" t="s">
        <v>131</v>
      </c>
      <c r="P81" s="35"/>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BA81" s="5" t="s">
        <v>92</v>
      </c>
      <c r="BB81" s="7">
        <f>(BB78*BB76)</f>
        <v>0</v>
      </c>
    </row>
    <row r="82" spans="1:54" ht="12.75" customHeight="1">
      <c r="A82" s="33"/>
      <c r="B82" s="33"/>
      <c r="C82" s="33"/>
      <c r="D82" s="33"/>
      <c r="E82" s="33"/>
      <c r="F82" s="33"/>
      <c r="G82" s="33"/>
      <c r="H82" s="33"/>
      <c r="I82" s="33"/>
      <c r="J82" s="33"/>
      <c r="K82" s="33"/>
      <c r="L82" s="33"/>
      <c r="M82" s="33"/>
      <c r="N82" s="33"/>
      <c r="O82" s="71" t="s">
        <v>81</v>
      </c>
      <c r="P82" s="54">
        <v>0</v>
      </c>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BA82" s="5" t="s">
        <v>93</v>
      </c>
      <c r="BB82" s="8">
        <f>(BB78*BB76)*(1-(BB106*0.5))</f>
        <v>0</v>
      </c>
    </row>
    <row r="83" spans="1:54" ht="12.75" customHeight="1">
      <c r="A83" s="33"/>
      <c r="B83" s="33"/>
      <c r="C83" s="33"/>
      <c r="D83" s="33"/>
      <c r="E83" s="33"/>
      <c r="F83" s="33"/>
      <c r="G83" s="33"/>
      <c r="H83" s="33"/>
      <c r="I83" s="33"/>
      <c r="J83" s="33"/>
      <c r="K83" s="33"/>
      <c r="L83" s="33"/>
      <c r="M83" s="33"/>
      <c r="N83" s="33"/>
      <c r="O83" s="71" t="s">
        <v>82</v>
      </c>
      <c r="P83" s="55">
        <v>0</v>
      </c>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BA83" s="5" t="s">
        <v>119</v>
      </c>
      <c r="BB83" s="8">
        <f>((BB111-BB93)*(1-(BB106*0.5)))/BB94</f>
        <v>2.7868487499999994</v>
      </c>
    </row>
    <row r="84" spans="1:54" ht="12.75" customHeight="1">
      <c r="A84" s="33"/>
      <c r="B84" s="33"/>
      <c r="C84" s="33"/>
      <c r="D84" s="33"/>
      <c r="E84" s="33"/>
      <c r="F84" s="33"/>
      <c r="G84" s="33"/>
      <c r="H84" s="33"/>
      <c r="I84" s="33"/>
      <c r="J84" s="33"/>
      <c r="K84" s="33"/>
      <c r="L84" s="33"/>
      <c r="M84" s="33"/>
      <c r="N84" s="33"/>
      <c r="O84" s="71" t="s">
        <v>35</v>
      </c>
      <c r="P84" s="56">
        <v>0</v>
      </c>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BA84" s="5" t="s">
        <v>120</v>
      </c>
      <c r="BB84" s="8">
        <f>(BB111-BB93)/BB94</f>
        <v>2.7938333333333327</v>
      </c>
    </row>
    <row r="85" spans="1:54" ht="12.75" customHeight="1" thickBot="1">
      <c r="A85" s="33"/>
      <c r="B85" s="33"/>
      <c r="C85" s="33"/>
      <c r="D85" s="33"/>
      <c r="E85" s="33"/>
      <c r="F85" s="33"/>
      <c r="G85" s="33"/>
      <c r="H85" s="33"/>
      <c r="I85" s="33"/>
      <c r="J85" s="33"/>
      <c r="K85" s="33"/>
      <c r="L85" s="33"/>
      <c r="M85" s="33"/>
      <c r="N85" s="33"/>
      <c r="O85" s="71" t="s">
        <v>30</v>
      </c>
      <c r="P85" s="74">
        <v>0</v>
      </c>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BA85" s="5" t="s">
        <v>56</v>
      </c>
      <c r="BB85" s="8">
        <f>(BB91*BB94)</f>
        <v>750</v>
      </c>
    </row>
    <row r="86" spans="1:54" ht="12.75" customHeight="1" thickBot="1">
      <c r="A86" s="33"/>
      <c r="B86" s="33"/>
      <c r="C86" s="33"/>
      <c r="D86" s="33"/>
      <c r="E86" s="33"/>
      <c r="F86" s="33"/>
      <c r="G86" s="33"/>
      <c r="H86" s="33"/>
      <c r="I86" s="33"/>
      <c r="J86" s="33"/>
      <c r="K86" s="33"/>
      <c r="L86" s="33"/>
      <c r="M86" s="33"/>
      <c r="N86" s="33"/>
      <c r="O86" s="71" t="s">
        <v>83</v>
      </c>
      <c r="P86" s="76">
        <v>9</v>
      </c>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BA86" s="5" t="s">
        <v>57</v>
      </c>
      <c r="BB86" s="8">
        <f>(BB91*BB94)*(1-(BB106*0.5))</f>
        <v>748.125</v>
      </c>
    </row>
    <row r="87" spans="1:54" ht="12.75" customHeight="1" thickBot="1">
      <c r="A87" s="33"/>
      <c r="B87" s="33"/>
      <c r="C87" s="33"/>
      <c r="D87" s="33"/>
      <c r="E87" s="33"/>
      <c r="F87" s="33"/>
      <c r="G87" s="33"/>
      <c r="H87" s="33"/>
      <c r="I87" s="33"/>
      <c r="J87" s="33"/>
      <c r="K87" s="33"/>
      <c r="L87" s="33"/>
      <c r="M87" s="33"/>
      <c r="N87" s="33"/>
      <c r="O87" s="71" t="s">
        <v>31</v>
      </c>
      <c r="P87" s="75">
        <v>0</v>
      </c>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BA87" s="5" t="s">
        <v>76</v>
      </c>
      <c r="BB87" s="24">
        <f>(BB111-BB71)/BB95</f>
        <v>2.4604999999999997</v>
      </c>
    </row>
    <row r="88" spans="1:54" ht="12.75" customHeight="1" thickBot="1">
      <c r="A88" s="33"/>
      <c r="B88" s="33"/>
      <c r="C88" s="33"/>
      <c r="D88" s="33"/>
      <c r="E88" s="33"/>
      <c r="F88" s="33"/>
      <c r="G88" s="33"/>
      <c r="H88" s="33"/>
      <c r="I88" s="33"/>
      <c r="J88" s="33"/>
      <c r="K88" s="33"/>
      <c r="L88" s="33"/>
      <c r="M88" s="33"/>
      <c r="N88" s="33"/>
      <c r="O88" s="71" t="s">
        <v>23</v>
      </c>
      <c r="P88" s="76">
        <v>15</v>
      </c>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BA88" s="5" t="s">
        <v>77</v>
      </c>
      <c r="BB88" s="24">
        <f>((BB111-BB71)*(1-(BB107*0.5)))/BB95</f>
        <v>2.4543487499999994</v>
      </c>
    </row>
    <row r="89" spans="1:54" ht="12.75" customHeight="1" thickBot="1">
      <c r="A89" s="33"/>
      <c r="B89" s="33"/>
      <c r="C89" s="33"/>
      <c r="D89" s="33"/>
      <c r="E89" s="33"/>
      <c r="F89" s="33"/>
      <c r="G89" s="33"/>
      <c r="H89" s="33"/>
      <c r="I89" s="33"/>
      <c r="J89" s="33"/>
      <c r="K89" s="33"/>
      <c r="L89" s="33"/>
      <c r="M89" s="33"/>
      <c r="N89" s="33"/>
      <c r="O89" s="71" t="s">
        <v>113</v>
      </c>
      <c r="P89" s="75">
        <v>0</v>
      </c>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BA89" s="5" t="s">
        <v>73</v>
      </c>
      <c r="BB89" s="8">
        <f>BB81/(BB93-BB71)</f>
        <v>0</v>
      </c>
    </row>
    <row r="90" spans="1:54" ht="12.75" customHeight="1" thickBot="1">
      <c r="A90" s="33"/>
      <c r="B90" s="33"/>
      <c r="C90" s="33"/>
      <c r="D90" s="33"/>
      <c r="E90" s="33"/>
      <c r="F90" s="33"/>
      <c r="G90" s="33"/>
      <c r="H90" s="33"/>
      <c r="I90" s="33"/>
      <c r="J90" s="33"/>
      <c r="K90" s="33"/>
      <c r="L90" s="33"/>
      <c r="M90" s="33"/>
      <c r="N90" s="33"/>
      <c r="O90" s="72" t="s">
        <v>134</v>
      </c>
      <c r="P90" s="76">
        <v>18</v>
      </c>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BA90" s="5" t="s">
        <v>74</v>
      </c>
      <c r="BB90" s="8">
        <f>BB82/(BB93-BB71)</f>
        <v>0</v>
      </c>
    </row>
    <row r="91" spans="1:54" ht="12.75" customHeight="1" thickBot="1">
      <c r="A91" s="33"/>
      <c r="B91" s="33"/>
      <c r="C91" s="33"/>
      <c r="D91" s="33"/>
      <c r="E91" s="33"/>
      <c r="F91" s="33"/>
      <c r="G91" s="33"/>
      <c r="H91" s="33"/>
      <c r="I91" s="33"/>
      <c r="J91" s="33"/>
      <c r="K91" s="33"/>
      <c r="L91" s="33"/>
      <c r="M91" s="33"/>
      <c r="N91" s="33"/>
      <c r="O91" s="73" t="s">
        <v>32</v>
      </c>
      <c r="P91" s="75">
        <v>0</v>
      </c>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BA91" s="5" t="s">
        <v>58</v>
      </c>
      <c r="BB91" s="13">
        <f>'Stocker Calculations'!P29</f>
        <v>5</v>
      </c>
    </row>
    <row r="92" spans="1:55" ht="12.75" customHeight="1" thickBot="1">
      <c r="A92" s="33"/>
      <c r="B92" s="33"/>
      <c r="C92" s="33"/>
      <c r="D92" s="33"/>
      <c r="E92" s="33"/>
      <c r="F92" s="33"/>
      <c r="G92" s="33"/>
      <c r="H92" s="33"/>
      <c r="I92" s="33"/>
      <c r="J92" s="33"/>
      <c r="K92" s="33"/>
      <c r="L92" s="33"/>
      <c r="M92" s="33"/>
      <c r="N92" s="33"/>
      <c r="O92" s="73" t="s">
        <v>41</v>
      </c>
      <c r="P92" s="77">
        <v>500</v>
      </c>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BA92" s="5" t="s">
        <v>59</v>
      </c>
      <c r="BB92" s="26">
        <f>'Stocker Calculations'!P28</f>
        <v>0.04</v>
      </c>
      <c r="BC92" s="2">
        <f>(BB86*BB92)</f>
        <v>29.925</v>
      </c>
    </row>
    <row r="93" spans="1:54" ht="12.75" customHeight="1">
      <c r="A93" s="33"/>
      <c r="B93" s="33"/>
      <c r="C93" s="33"/>
      <c r="D93" s="33"/>
      <c r="E93" s="33"/>
      <c r="F93" s="33"/>
      <c r="G93" s="33"/>
      <c r="H93" s="33"/>
      <c r="I93" s="33"/>
      <c r="J93" s="33"/>
      <c r="K93" s="33"/>
      <c r="L93" s="33"/>
      <c r="M93" s="33"/>
      <c r="N93" s="33"/>
      <c r="O93" s="37" t="s">
        <v>33</v>
      </c>
      <c r="P93" s="35"/>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BA93" s="5" t="s">
        <v>34</v>
      </c>
      <c r="BB93" s="13">
        <f>'Stocker Calculations'!P26</f>
        <v>500</v>
      </c>
    </row>
    <row r="94" spans="1:54" ht="12.75" customHeight="1">
      <c r="A94" s="33"/>
      <c r="B94" s="33"/>
      <c r="C94" s="33"/>
      <c r="D94" s="33"/>
      <c r="E94" s="33"/>
      <c r="F94" s="33"/>
      <c r="G94" s="33"/>
      <c r="H94" s="33"/>
      <c r="I94" s="33"/>
      <c r="J94" s="33"/>
      <c r="K94" s="33"/>
      <c r="L94" s="33"/>
      <c r="M94" s="33"/>
      <c r="N94" s="33"/>
      <c r="O94" s="63" t="s">
        <v>114</v>
      </c>
      <c r="P94" s="54">
        <v>0.04</v>
      </c>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BA94" s="5" t="s">
        <v>36</v>
      </c>
      <c r="BB94" s="14">
        <f>'Stocker Calculations'!P30</f>
        <v>150</v>
      </c>
    </row>
    <row r="95" spans="1:54" ht="12.75">
      <c r="A95" s="33"/>
      <c r="B95" s="33"/>
      <c r="C95" s="33"/>
      <c r="D95" s="33"/>
      <c r="E95" s="33"/>
      <c r="F95" s="33"/>
      <c r="G95" s="33"/>
      <c r="H95" s="33"/>
      <c r="I95" s="33"/>
      <c r="J95" s="33"/>
      <c r="K95" s="33"/>
      <c r="L95" s="33"/>
      <c r="M95" s="33"/>
      <c r="N95" s="33"/>
      <c r="O95" s="63" t="s">
        <v>85</v>
      </c>
      <c r="P95" s="51">
        <v>5</v>
      </c>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BA95" t="s">
        <v>42</v>
      </c>
      <c r="BB95" s="14">
        <f>'Stocker Calculations'!P18+'Stocker Calculations'!P30</f>
        <v>150</v>
      </c>
    </row>
    <row r="96" spans="1:55" ht="12.75">
      <c r="A96" s="33"/>
      <c r="B96" s="33"/>
      <c r="C96" s="33"/>
      <c r="D96" s="33"/>
      <c r="E96" s="33"/>
      <c r="F96" s="33"/>
      <c r="G96" s="33"/>
      <c r="H96" s="33"/>
      <c r="I96" s="33"/>
      <c r="J96" s="33"/>
      <c r="K96" s="33"/>
      <c r="L96" s="33"/>
      <c r="M96" s="33"/>
      <c r="N96" s="33"/>
      <c r="O96" s="63" t="s">
        <v>36</v>
      </c>
      <c r="P96" s="56">
        <v>150</v>
      </c>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BA96" t="s">
        <v>46</v>
      </c>
      <c r="BB96" s="2">
        <f>'Stocker Calculations'!P19</f>
        <v>0</v>
      </c>
      <c r="BC96" s="2">
        <f>(BB76*BB96)</f>
        <v>0</v>
      </c>
    </row>
    <row r="97" spans="1:55" ht="12.75">
      <c r="A97" s="33"/>
      <c r="B97" s="33"/>
      <c r="C97" s="33"/>
      <c r="D97" s="33"/>
      <c r="E97" s="33"/>
      <c r="F97" s="33"/>
      <c r="G97" s="33"/>
      <c r="H97" s="33"/>
      <c r="I97" s="33"/>
      <c r="J97" s="33"/>
      <c r="K97" s="33"/>
      <c r="L97" s="33"/>
      <c r="M97" s="33"/>
      <c r="N97" s="33"/>
      <c r="O97" s="63" t="s">
        <v>37</v>
      </c>
      <c r="P97" s="52">
        <v>0.2</v>
      </c>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BA97" t="s">
        <v>45</v>
      </c>
      <c r="BB97" s="2">
        <f>'Stocker Calculations'!P31</f>
        <v>0.2</v>
      </c>
      <c r="BC97" s="2">
        <f>(BB94*BB97)</f>
        <v>30</v>
      </c>
    </row>
    <row r="98" spans="1:55" ht="12.75">
      <c r="A98" s="33"/>
      <c r="B98" s="33"/>
      <c r="C98" s="33"/>
      <c r="D98" s="33"/>
      <c r="E98" s="33"/>
      <c r="F98" s="33"/>
      <c r="G98" s="33"/>
      <c r="H98" s="33"/>
      <c r="I98" s="33"/>
      <c r="J98" s="33"/>
      <c r="K98" s="33"/>
      <c r="L98" s="33"/>
      <c r="M98" s="33"/>
      <c r="N98" s="33"/>
      <c r="O98" s="63" t="s">
        <v>38</v>
      </c>
      <c r="P98" s="53">
        <v>0.1</v>
      </c>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BA98" t="s">
        <v>1</v>
      </c>
      <c r="BB98" s="2">
        <f>'Stocker Calculations'!P20</f>
        <v>9</v>
      </c>
      <c r="BC98" s="11">
        <f>(BB98*1)</f>
        <v>9</v>
      </c>
    </row>
    <row r="99" spans="1:55" ht="12.75">
      <c r="A99" s="33"/>
      <c r="B99" s="33"/>
      <c r="C99" s="33"/>
      <c r="D99" s="33"/>
      <c r="E99" s="33"/>
      <c r="F99" s="33"/>
      <c r="G99" s="33"/>
      <c r="H99" s="33"/>
      <c r="I99" s="33"/>
      <c r="J99" s="33"/>
      <c r="K99" s="33"/>
      <c r="L99" s="33"/>
      <c r="M99" s="33"/>
      <c r="N99" s="33"/>
      <c r="O99" s="63" t="s">
        <v>39</v>
      </c>
      <c r="P99" s="53">
        <v>0.1</v>
      </c>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BA99" t="s">
        <v>47</v>
      </c>
      <c r="BB99" s="4">
        <f>'Stocker Calculations'!P21</f>
        <v>0</v>
      </c>
      <c r="BC99" s="11">
        <f>(BB99*BB101)</f>
        <v>0</v>
      </c>
    </row>
    <row r="100" spans="1:55" ht="12.75">
      <c r="A100" s="33"/>
      <c r="B100" s="33"/>
      <c r="C100" s="33"/>
      <c r="D100" s="33"/>
      <c r="E100" s="33"/>
      <c r="F100" s="33"/>
      <c r="G100" s="33"/>
      <c r="H100" s="33"/>
      <c r="I100" s="33"/>
      <c r="J100" s="33"/>
      <c r="K100" s="33"/>
      <c r="L100" s="33"/>
      <c r="M100" s="33"/>
      <c r="N100" s="33"/>
      <c r="O100" s="63" t="s">
        <v>40</v>
      </c>
      <c r="P100" s="53">
        <v>0.005</v>
      </c>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BA100" t="s">
        <v>48</v>
      </c>
      <c r="BB100" s="4">
        <f>'Stocker Calculations'!P32</f>
        <v>0.1</v>
      </c>
      <c r="BC100" s="2">
        <f>(BB100*BB101)</f>
        <v>1.5</v>
      </c>
    </row>
    <row r="101" spans="1:55" ht="12.75">
      <c r="A101" s="33"/>
      <c r="B101" s="33"/>
      <c r="C101" s="33"/>
      <c r="D101" s="33"/>
      <c r="E101" s="33"/>
      <c r="F101" s="33"/>
      <c r="G101" s="33"/>
      <c r="H101" s="33"/>
      <c r="I101" s="33"/>
      <c r="J101" s="33"/>
      <c r="K101" s="33"/>
      <c r="L101" s="33"/>
      <c r="M101" s="33"/>
      <c r="N101" s="33"/>
      <c r="O101" s="64" t="s">
        <v>24</v>
      </c>
      <c r="P101" s="50">
        <v>0.6425</v>
      </c>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BA101" t="s">
        <v>15</v>
      </c>
      <c r="BB101" s="2">
        <f>'Stocker Calculations'!P22</f>
        <v>15</v>
      </c>
      <c r="BC101" s="2"/>
    </row>
    <row r="102" spans="1:55" ht="12.75">
      <c r="A102" s="33"/>
      <c r="B102" s="33"/>
      <c r="C102" s="33"/>
      <c r="D102" s="33"/>
      <c r="E102" s="33"/>
      <c r="F102" s="33"/>
      <c r="G102" s="33"/>
      <c r="H102" s="33"/>
      <c r="I102" s="33"/>
      <c r="J102" s="33"/>
      <c r="K102" s="33"/>
      <c r="L102" s="33"/>
      <c r="M102" s="33"/>
      <c r="N102" s="33"/>
      <c r="O102" s="65" t="s">
        <v>25</v>
      </c>
      <c r="P102" s="51">
        <v>947.5</v>
      </c>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BA102" t="s">
        <v>51</v>
      </c>
      <c r="BB102" s="4">
        <f>'Stocker Calculations'!P23</f>
        <v>0</v>
      </c>
      <c r="BC102" s="2">
        <f>(BB99*BB102*BB104)</f>
        <v>0</v>
      </c>
    </row>
    <row r="103" spans="1:55" ht="12.75">
      <c r="A103" s="33"/>
      <c r="B103" s="33"/>
      <c r="C103" s="33"/>
      <c r="D103" s="33"/>
      <c r="E103" s="33"/>
      <c r="F103" s="33"/>
      <c r="G103" s="33"/>
      <c r="H103" s="33"/>
      <c r="I103" s="33"/>
      <c r="J103" s="33"/>
      <c r="K103" s="33"/>
      <c r="L103" s="33"/>
      <c r="M103" s="33"/>
      <c r="N103" s="33"/>
      <c r="O103" s="66" t="s">
        <v>26</v>
      </c>
      <c r="P103" s="53">
        <v>0.03</v>
      </c>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BA103" t="s">
        <v>52</v>
      </c>
      <c r="BB103" s="4">
        <f>'Stocker Calculations'!P33</f>
        <v>0.1</v>
      </c>
      <c r="BC103" s="2">
        <f>(BB100*BB103*BB104)</f>
        <v>0.18000000000000005</v>
      </c>
    </row>
    <row r="104" spans="1:55" ht="12.75">
      <c r="A104" s="33"/>
      <c r="B104" s="33"/>
      <c r="C104" s="33"/>
      <c r="D104" s="33"/>
      <c r="E104" s="33"/>
      <c r="F104" s="33"/>
      <c r="G104" s="33"/>
      <c r="H104" s="33"/>
      <c r="I104" s="33"/>
      <c r="J104" s="33"/>
      <c r="K104" s="33"/>
      <c r="L104" s="33"/>
      <c r="M104" s="33"/>
      <c r="N104" s="33"/>
      <c r="O104" s="64" t="s">
        <v>29</v>
      </c>
      <c r="P104" s="52">
        <v>1</v>
      </c>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BA104" t="s">
        <v>16</v>
      </c>
      <c r="BB104" s="2">
        <f>'Stocker Calculations'!P24</f>
        <v>18</v>
      </c>
      <c r="BC104" s="2"/>
    </row>
    <row r="105" spans="1:55" ht="12.75">
      <c r="A105" s="33"/>
      <c r="B105" s="33"/>
      <c r="C105" s="33"/>
      <c r="D105" s="33"/>
      <c r="E105" s="33"/>
      <c r="F105" s="33"/>
      <c r="G105" s="33"/>
      <c r="H105" s="33"/>
      <c r="I105" s="33"/>
      <c r="J105" s="33"/>
      <c r="K105" s="33"/>
      <c r="L105" s="33"/>
      <c r="M105" s="33"/>
      <c r="N105" s="33"/>
      <c r="O105" s="64" t="s">
        <v>125</v>
      </c>
      <c r="P105" s="52">
        <v>5</v>
      </c>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BA105" t="s">
        <v>49</v>
      </c>
      <c r="BB105" s="4">
        <f>'Stocker Calculations'!P25</f>
        <v>0</v>
      </c>
      <c r="BC105" s="2"/>
    </row>
    <row r="106" spans="1:54" ht="12.75">
      <c r="A106" s="33"/>
      <c r="B106" s="33"/>
      <c r="C106" s="33"/>
      <c r="D106" s="33"/>
      <c r="E106" s="33"/>
      <c r="F106" s="33"/>
      <c r="G106" s="33"/>
      <c r="H106" s="33"/>
      <c r="I106" s="33"/>
      <c r="J106" s="33"/>
      <c r="K106" s="33"/>
      <c r="L106" s="33"/>
      <c r="M106" s="33"/>
      <c r="N106" s="33"/>
      <c r="O106" s="64" t="s">
        <v>75</v>
      </c>
      <c r="P106" s="52">
        <v>27.2698</v>
      </c>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BA106" t="s">
        <v>50</v>
      </c>
      <c r="BB106" s="4">
        <f>'Stocker Calculations'!P34</f>
        <v>0.005</v>
      </c>
    </row>
    <row r="107" spans="1:54" ht="15">
      <c r="A107" s="33"/>
      <c r="B107" s="33"/>
      <c r="C107" s="33"/>
      <c r="D107" s="33"/>
      <c r="E107" s="33"/>
      <c r="F107" s="33"/>
      <c r="G107" s="33"/>
      <c r="H107" s="33"/>
      <c r="I107" s="33"/>
      <c r="J107" s="33"/>
      <c r="K107" s="33"/>
      <c r="L107" s="33"/>
      <c r="M107" s="33"/>
      <c r="N107" s="33"/>
      <c r="O107" s="38"/>
      <c r="P107" s="39"/>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BA107" t="s">
        <v>60</v>
      </c>
      <c r="BB107" s="4">
        <f>(BB105+BB106)</f>
        <v>0.005</v>
      </c>
    </row>
    <row r="108" spans="1:54" ht="15">
      <c r="A108" s="33"/>
      <c r="B108" s="33"/>
      <c r="C108" s="33"/>
      <c r="D108" s="33"/>
      <c r="E108" s="33"/>
      <c r="F108" s="33"/>
      <c r="G108" s="33"/>
      <c r="H108" s="33"/>
      <c r="I108" s="33"/>
      <c r="J108" s="33"/>
      <c r="K108" s="33"/>
      <c r="L108" s="33"/>
      <c r="M108" s="33"/>
      <c r="N108" s="33"/>
      <c r="O108" s="40" t="s">
        <v>27</v>
      </c>
      <c r="P108" s="40"/>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BA108" t="s">
        <v>5</v>
      </c>
      <c r="BB108" s="25">
        <f>'Stocker Calculations'!P35</f>
        <v>0.6425</v>
      </c>
    </row>
    <row r="109" spans="1:54" ht="15.75" customHeight="1">
      <c r="A109" s="33"/>
      <c r="B109" s="33"/>
      <c r="C109" s="33"/>
      <c r="D109" s="33"/>
      <c r="E109" s="33"/>
      <c r="F109" s="33"/>
      <c r="G109" s="33"/>
      <c r="H109" s="33"/>
      <c r="I109" s="33"/>
      <c r="J109" s="33"/>
      <c r="K109" s="33"/>
      <c r="L109" s="33"/>
      <c r="M109" s="33"/>
      <c r="N109" s="33"/>
      <c r="O109" s="60" t="s">
        <v>118</v>
      </c>
      <c r="P109" s="57">
        <f>'Stocker Calculations'!BB153</f>
        <v>22.592595577910956</v>
      </c>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BA109" t="s">
        <v>6</v>
      </c>
      <c r="BB109" s="13">
        <f>'Stocker Calculations'!P36</f>
        <v>947.5</v>
      </c>
    </row>
    <row r="110" spans="1:54" ht="12.75">
      <c r="A110" s="33"/>
      <c r="B110" s="33"/>
      <c r="C110" s="33"/>
      <c r="D110" s="33"/>
      <c r="E110" s="33"/>
      <c r="F110" s="33"/>
      <c r="G110" s="33"/>
      <c r="H110" s="33"/>
      <c r="I110" s="33"/>
      <c r="J110" s="33"/>
      <c r="K110" s="33"/>
      <c r="L110" s="33"/>
      <c r="M110" s="33"/>
      <c r="N110" s="33"/>
      <c r="O110" s="60" t="s">
        <v>139</v>
      </c>
      <c r="P110" s="58">
        <f>IF(P84&gt;0,'Stocker Calculations'!BB157,"")</f>
      </c>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BA110" t="s">
        <v>7</v>
      </c>
      <c r="BB110" s="4">
        <f>'Stocker Calculations'!P37</f>
        <v>0.03</v>
      </c>
    </row>
    <row r="111" spans="1:56" ht="12.75">
      <c r="A111" s="33"/>
      <c r="B111" s="33"/>
      <c r="C111" s="33"/>
      <c r="D111" s="33"/>
      <c r="E111" s="33"/>
      <c r="F111" s="33"/>
      <c r="G111" s="33"/>
      <c r="H111" s="33"/>
      <c r="I111" s="33"/>
      <c r="J111" s="33"/>
      <c r="K111" s="33"/>
      <c r="L111" s="33"/>
      <c r="M111" s="33"/>
      <c r="N111" s="33"/>
      <c r="O111" s="60" t="s">
        <v>142</v>
      </c>
      <c r="P111" s="58">
        <f>'Stocker Calculations'!BB161</f>
        <v>2.7868487499999994</v>
      </c>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BA111" t="s">
        <v>94</v>
      </c>
      <c r="BB111" s="31">
        <f>BB109*(1-BB110)</f>
        <v>919.0749999999999</v>
      </c>
      <c r="BD111" s="2">
        <f>(BB108*BB111*(1-BB107))</f>
        <v>587.5531590625</v>
      </c>
    </row>
    <row r="112" spans="1:56" ht="12.75">
      <c r="A112" s="33"/>
      <c r="B112" s="33"/>
      <c r="C112" s="33"/>
      <c r="D112" s="33"/>
      <c r="E112" s="33"/>
      <c r="F112" s="33"/>
      <c r="G112" s="33"/>
      <c r="H112" s="33"/>
      <c r="I112" s="33"/>
      <c r="J112" s="33"/>
      <c r="K112" s="33"/>
      <c r="L112" s="33"/>
      <c r="M112" s="33"/>
      <c r="N112" s="33"/>
      <c r="O112" s="60" t="s">
        <v>141</v>
      </c>
      <c r="P112" s="58">
        <f>'Stocker Calculations'!BB166</f>
        <v>2.72034875</v>
      </c>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BA112" t="s">
        <v>123</v>
      </c>
      <c r="BB112" s="2">
        <f>'Stocker Calculations'!P38</f>
        <v>5</v>
      </c>
      <c r="BC112" s="2">
        <f>(BB112*1)*(1-BB107)</f>
        <v>4.975</v>
      </c>
      <c r="BD112" s="2"/>
    </row>
    <row r="113" spans="1:55" ht="12.75" customHeight="1">
      <c r="A113" s="33"/>
      <c r="B113" s="33"/>
      <c r="C113" s="33"/>
      <c r="D113" s="33"/>
      <c r="E113" s="33"/>
      <c r="F113" s="33"/>
      <c r="G113" s="33"/>
      <c r="H113" s="33"/>
      <c r="I113" s="33"/>
      <c r="J113" s="33"/>
      <c r="K113" s="33"/>
      <c r="L113" s="33"/>
      <c r="M113" s="33"/>
      <c r="N113" s="33"/>
      <c r="O113" s="60" t="s">
        <v>100</v>
      </c>
      <c r="P113" s="58">
        <f>'Stocker Calculations'!BB160</f>
        <v>0</v>
      </c>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BA113" t="s">
        <v>14</v>
      </c>
      <c r="BB113" s="2">
        <f>'Stocker Calculations'!P39</f>
        <v>1</v>
      </c>
      <c r="BC113" s="2">
        <f>(BB113*1)*(1-BB107)</f>
        <v>0.995</v>
      </c>
    </row>
    <row r="114" spans="1:55" ht="12.75" customHeight="1">
      <c r="A114" s="33"/>
      <c r="B114" s="33"/>
      <c r="C114" s="33"/>
      <c r="D114" s="33"/>
      <c r="E114" s="33"/>
      <c r="F114" s="33"/>
      <c r="G114" s="33"/>
      <c r="H114" s="33"/>
      <c r="I114" s="33"/>
      <c r="J114" s="33"/>
      <c r="K114" s="33"/>
      <c r="L114" s="33"/>
      <c r="M114" s="33"/>
      <c r="N114" s="33"/>
      <c r="O114" s="60" t="s">
        <v>121</v>
      </c>
      <c r="P114" s="58">
        <f>'Stocker Calculations'!BB164</f>
        <v>748.125</v>
      </c>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BA114" t="s">
        <v>75</v>
      </c>
      <c r="BB114" s="29">
        <f>SUM(BD111)-SUM(BC70:BC113)</f>
        <v>66.43706317208898</v>
      </c>
      <c r="BC114" s="2"/>
    </row>
    <row r="115" spans="1:55" ht="12.75" customHeight="1" hidden="1">
      <c r="A115" s="33"/>
      <c r="B115" s="33"/>
      <c r="C115" s="33"/>
      <c r="D115" s="33"/>
      <c r="E115" s="33"/>
      <c r="F115" s="33"/>
      <c r="G115" s="33"/>
      <c r="H115" s="33"/>
      <c r="I115" s="33"/>
      <c r="J115" s="33"/>
      <c r="K115" s="33"/>
      <c r="L115" s="33"/>
      <c r="M115" s="33"/>
      <c r="N115" s="33"/>
      <c r="O115" s="60" t="s">
        <v>68</v>
      </c>
      <c r="P115" s="58">
        <f>'Stocker Calculations'!BB164</f>
        <v>748.125</v>
      </c>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BA115" s="20" t="s">
        <v>95</v>
      </c>
      <c r="BB115" s="30">
        <f>((((BB76/BB95)*(BC73+BC75))+(BC72+BC77+BC96+BC98+BC99+BC102))/(BB93-BB71))</f>
        <v>-0.242</v>
      </c>
      <c r="BC115" s="2"/>
    </row>
    <row r="116" spans="1:55" ht="12.75" customHeight="1">
      <c r="A116" s="33"/>
      <c r="B116" s="33"/>
      <c r="C116" s="33"/>
      <c r="D116" s="33"/>
      <c r="E116" s="33"/>
      <c r="F116" s="33"/>
      <c r="G116" s="33"/>
      <c r="H116" s="33"/>
      <c r="I116" s="33"/>
      <c r="J116" s="33"/>
      <c r="K116" s="33"/>
      <c r="L116" s="33"/>
      <c r="M116" s="33"/>
      <c r="N116" s="33"/>
      <c r="O116" s="61" t="s">
        <v>138</v>
      </c>
      <c r="P116" s="58">
        <f>IF(P84&gt;0,'Stocker Calculations'!BB168,"")</f>
      </c>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BA116" s="23" t="s">
        <v>69</v>
      </c>
      <c r="BB116" s="30">
        <f>((((BB76/BB95)*(BC73+BC75))+(BC72+BC77+BC96+BC98+BC99+BC102))/((BB93-BB71)*(1-BB105)))</f>
        <v>-0.242</v>
      </c>
      <c r="BC116" s="2"/>
    </row>
    <row r="117" spans="1:55" ht="12.75" customHeight="1">
      <c r="A117" s="33"/>
      <c r="B117" s="33"/>
      <c r="C117" s="33"/>
      <c r="D117" s="33"/>
      <c r="E117" s="33"/>
      <c r="F117" s="33"/>
      <c r="G117" s="33"/>
      <c r="H117" s="33"/>
      <c r="I117" s="33"/>
      <c r="J117" s="33"/>
      <c r="K117" s="33"/>
      <c r="L117" s="33"/>
      <c r="M117" s="33"/>
      <c r="N117" s="33"/>
      <c r="O117" s="61" t="s">
        <v>135</v>
      </c>
      <c r="P117" s="59">
        <f>IF(P84&gt;0,'Stocker Calculations'!BB194,"")</f>
      </c>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BA117" s="5" t="s">
        <v>96</v>
      </c>
      <c r="BB117" s="30">
        <f>((((BB94/BB95)*(BC73+BC75))+(BC92+BC97+BC100+BC103+BC112+BC113))/(BB111-BB93))</f>
        <v>0.23030745305830932</v>
      </c>
      <c r="BC117" s="2"/>
    </row>
    <row r="118" spans="1:55" ht="12.75" customHeight="1">
      <c r="A118" s="33"/>
      <c r="B118" s="33"/>
      <c r="C118" s="33"/>
      <c r="D118" s="33"/>
      <c r="E118" s="33"/>
      <c r="F118" s="33"/>
      <c r="G118" s="33"/>
      <c r="H118" s="33"/>
      <c r="I118" s="33"/>
      <c r="J118" s="33"/>
      <c r="K118" s="33"/>
      <c r="L118" s="33"/>
      <c r="M118" s="33"/>
      <c r="N118" s="33"/>
      <c r="O118" s="61" t="s">
        <v>136</v>
      </c>
      <c r="P118" s="59">
        <f>IF(P84&gt;0,'Stocker Calculations'!BB196,'Stocker Calculations'!BB198)</f>
        <v>0.27680441092687286</v>
      </c>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BA118" s="23" t="s">
        <v>70</v>
      </c>
      <c r="BB118" s="30">
        <f>((((BB94/BB95)*(BC73+BC75))+(BC92+BC97+BC100+BC103+BC112+BC113))/((BB111-BB93)*(1-BB106)))</f>
        <v>0.23146477694302445</v>
      </c>
      <c r="BC118" s="2"/>
    </row>
    <row r="119" spans="1:55" ht="12.75" customHeight="1">
      <c r="A119" s="33"/>
      <c r="B119" s="33"/>
      <c r="C119" s="33"/>
      <c r="D119" s="33"/>
      <c r="E119" s="33"/>
      <c r="F119" s="33"/>
      <c r="G119" s="33"/>
      <c r="H119" s="33"/>
      <c r="I119" s="33"/>
      <c r="J119" s="33"/>
      <c r="K119" s="33"/>
      <c r="L119" s="33"/>
      <c r="M119" s="33"/>
      <c r="N119" s="33"/>
      <c r="O119" s="61" t="s">
        <v>137</v>
      </c>
      <c r="P119" s="59">
        <f>'Stocker Calculations'!BB198</f>
        <v>0.27680441092687286</v>
      </c>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BA119" s="5" t="s">
        <v>97</v>
      </c>
      <c r="BB119" s="30">
        <f>(SUM(BC72:BC113)/(BB111-BB71))</f>
        <v>0.29429274778950343</v>
      </c>
      <c r="BC119" s="2"/>
    </row>
    <row r="120" spans="1:55" ht="12.75" customHeight="1">
      <c r="A120" s="33"/>
      <c r="B120" s="33"/>
      <c r="C120" s="33"/>
      <c r="D120" s="33"/>
      <c r="E120" s="33"/>
      <c r="F120" s="33"/>
      <c r="G120" s="33"/>
      <c r="H120" s="33"/>
      <c r="I120" s="33"/>
      <c r="J120" s="33"/>
      <c r="K120" s="33"/>
      <c r="L120" s="33"/>
      <c r="M120" s="33"/>
      <c r="N120" s="33"/>
      <c r="O120" s="60" t="s">
        <v>66</v>
      </c>
      <c r="P120" s="67">
        <f>'Stocker Calculations'!BB199</f>
        <v>0.8776779676168412</v>
      </c>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BA120" s="23" t="s">
        <v>71</v>
      </c>
      <c r="BB120" s="30">
        <f>(SUM(BC72:BC113)/((BB111-BB71)*(1-BB107)))</f>
        <v>0.2957716058185964</v>
      </c>
      <c r="BC120" s="2"/>
    </row>
    <row r="121" spans="1:40" ht="12.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row>
    <row r="122" spans="1:53" ht="12.75" customHeight="1">
      <c r="A122" s="33"/>
      <c r="B122" s="33"/>
      <c r="C122" s="33"/>
      <c r="D122" s="33"/>
      <c r="E122" s="33"/>
      <c r="F122" s="33"/>
      <c r="G122" s="33"/>
      <c r="H122" s="33"/>
      <c r="I122" s="33"/>
      <c r="J122" s="33"/>
      <c r="K122" s="33"/>
      <c r="L122" s="33"/>
      <c r="M122" s="33"/>
      <c r="N122" s="33"/>
      <c r="O122" s="34"/>
      <c r="P122" s="42"/>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BA122" t="s">
        <v>128</v>
      </c>
    </row>
    <row r="123" spans="1:53" ht="12.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BA123" t="s">
        <v>88</v>
      </c>
    </row>
    <row r="124" spans="1:40" ht="12.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row>
    <row r="125" spans="1:56" ht="12.7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BA125" s="78" t="s">
        <v>98</v>
      </c>
      <c r="BB125" s="78"/>
      <c r="BC125" s="78"/>
      <c r="BD125" s="78"/>
    </row>
    <row r="126" spans="1:56" ht="15">
      <c r="A126" s="33"/>
      <c r="B126" s="33"/>
      <c r="C126" s="33"/>
      <c r="D126" s="33"/>
      <c r="E126" s="33"/>
      <c r="F126" s="33"/>
      <c r="G126" s="33"/>
      <c r="H126" s="33"/>
      <c r="I126" s="33"/>
      <c r="J126" s="33"/>
      <c r="K126" s="33"/>
      <c r="L126" s="33"/>
      <c r="M126" s="33"/>
      <c r="N126" s="33"/>
      <c r="O126" s="38"/>
      <c r="P126" s="44"/>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BA126" s="78"/>
      <c r="BB126" s="78"/>
      <c r="BC126" s="78"/>
      <c r="BD126" s="78"/>
    </row>
    <row r="127" spans="1:56" ht="15">
      <c r="A127" s="33"/>
      <c r="B127" s="33"/>
      <c r="C127" s="33"/>
      <c r="D127" s="33"/>
      <c r="E127" s="33"/>
      <c r="F127" s="33"/>
      <c r="G127" s="33"/>
      <c r="H127" s="33"/>
      <c r="I127" s="33"/>
      <c r="J127" s="33"/>
      <c r="K127" s="33"/>
      <c r="L127" s="33"/>
      <c r="M127" s="33"/>
      <c r="N127" s="33"/>
      <c r="O127" s="38"/>
      <c r="P127" s="44"/>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BA127" s="78"/>
      <c r="BB127" s="78"/>
      <c r="BC127" s="78"/>
      <c r="BD127" s="78"/>
    </row>
    <row r="128" spans="1:40" ht="15">
      <c r="A128" s="33"/>
      <c r="B128" s="33"/>
      <c r="C128" s="33"/>
      <c r="D128" s="33"/>
      <c r="E128" s="33"/>
      <c r="F128" s="33"/>
      <c r="G128" s="33"/>
      <c r="H128" s="33"/>
      <c r="I128" s="33"/>
      <c r="J128" s="33"/>
      <c r="K128" s="33"/>
      <c r="L128" s="33"/>
      <c r="M128" s="33"/>
      <c r="N128" s="33"/>
      <c r="O128" s="38"/>
      <c r="P128" s="45"/>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row>
    <row r="129" spans="1:56" ht="15">
      <c r="A129" s="33"/>
      <c r="B129" s="33"/>
      <c r="C129" s="33"/>
      <c r="D129" s="33"/>
      <c r="E129" s="33"/>
      <c r="F129" s="33"/>
      <c r="G129" s="33"/>
      <c r="H129" s="33"/>
      <c r="I129" s="33"/>
      <c r="J129" s="33"/>
      <c r="K129" s="33"/>
      <c r="L129" s="33"/>
      <c r="M129" s="33"/>
      <c r="N129" s="33"/>
      <c r="O129" s="38"/>
      <c r="P129" s="44"/>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BA129" s="79" t="s">
        <v>99</v>
      </c>
      <c r="BB129" s="80"/>
      <c r="BC129" s="80"/>
      <c r="BD129" s="3"/>
    </row>
    <row r="130" spans="1:55" ht="15">
      <c r="A130" s="33"/>
      <c r="B130" s="33"/>
      <c r="C130" s="33"/>
      <c r="D130" s="33"/>
      <c r="E130" s="33"/>
      <c r="F130" s="33"/>
      <c r="G130" s="33"/>
      <c r="H130" s="33"/>
      <c r="I130" s="33"/>
      <c r="J130" s="33"/>
      <c r="K130" s="33"/>
      <c r="L130" s="33"/>
      <c r="M130" s="33"/>
      <c r="N130" s="33"/>
      <c r="O130" s="38"/>
      <c r="P130" s="4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BB130" s="11"/>
      <c r="BC130" s="1"/>
    </row>
    <row r="131" spans="1:54" ht="15">
      <c r="A131" s="33"/>
      <c r="B131" s="33"/>
      <c r="C131" s="33"/>
      <c r="D131" s="33"/>
      <c r="E131" s="33"/>
      <c r="F131" s="33"/>
      <c r="G131" s="33"/>
      <c r="H131" s="33"/>
      <c r="I131" s="33"/>
      <c r="J131" s="33"/>
      <c r="K131" s="33"/>
      <c r="L131" s="33"/>
      <c r="M131" s="33"/>
      <c r="N131" s="33"/>
      <c r="O131" s="38"/>
      <c r="P131" s="4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BB131" s="6"/>
    </row>
    <row r="132" spans="1:55" ht="15">
      <c r="A132" s="33"/>
      <c r="B132" s="33"/>
      <c r="C132" s="33"/>
      <c r="D132" s="33"/>
      <c r="E132" s="33"/>
      <c r="F132" s="33"/>
      <c r="G132" s="33"/>
      <c r="H132" s="33"/>
      <c r="I132" s="33"/>
      <c r="J132" s="33"/>
      <c r="K132" s="33"/>
      <c r="L132" s="33"/>
      <c r="M132" s="33"/>
      <c r="N132" s="33"/>
      <c r="O132" s="38"/>
      <c r="P132" s="44"/>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BB132" s="2"/>
      <c r="BC132" s="11"/>
    </row>
    <row r="133" spans="1:55" ht="15">
      <c r="A133" s="33"/>
      <c r="B133" s="33"/>
      <c r="C133" s="33"/>
      <c r="D133" s="33"/>
      <c r="E133" s="33"/>
      <c r="F133" s="33"/>
      <c r="G133" s="33"/>
      <c r="H133" s="33"/>
      <c r="I133" s="33"/>
      <c r="J133" s="33"/>
      <c r="K133" s="33"/>
      <c r="L133" s="33"/>
      <c r="M133" s="33"/>
      <c r="N133" s="33"/>
      <c r="O133" s="38"/>
      <c r="P133" s="44"/>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BB133" s="2"/>
      <c r="BC133" s="11"/>
    </row>
    <row r="134" spans="1:54" ht="15">
      <c r="A134" s="33"/>
      <c r="B134" s="33"/>
      <c r="C134" s="33"/>
      <c r="D134" s="33"/>
      <c r="E134" s="33"/>
      <c r="F134" s="33"/>
      <c r="G134" s="33"/>
      <c r="H134" s="33"/>
      <c r="I134" s="33"/>
      <c r="J134" s="33"/>
      <c r="K134" s="33"/>
      <c r="L134" s="33"/>
      <c r="M134" s="33"/>
      <c r="N134" s="33"/>
      <c r="O134" s="38"/>
      <c r="P134" s="45"/>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BB134" s="4"/>
    </row>
    <row r="135" spans="1:55" ht="15">
      <c r="A135" s="33"/>
      <c r="B135" s="33"/>
      <c r="C135" s="33"/>
      <c r="D135" s="33"/>
      <c r="E135" s="33"/>
      <c r="F135" s="33"/>
      <c r="G135" s="33"/>
      <c r="H135" s="33"/>
      <c r="I135" s="33"/>
      <c r="J135" s="33"/>
      <c r="K135" s="33"/>
      <c r="L135" s="33"/>
      <c r="M135" s="33"/>
      <c r="N135" s="33"/>
      <c r="O135" s="38"/>
      <c r="P135" s="44"/>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BB135" s="11"/>
      <c r="BC135" s="2"/>
    </row>
    <row r="136" spans="1:55" ht="15">
      <c r="A136" s="33"/>
      <c r="B136" s="33"/>
      <c r="C136" s="33"/>
      <c r="D136" s="33"/>
      <c r="E136" s="33"/>
      <c r="F136" s="33"/>
      <c r="G136" s="33"/>
      <c r="H136" s="33"/>
      <c r="I136" s="33"/>
      <c r="J136" s="33"/>
      <c r="K136" s="33"/>
      <c r="L136" s="33"/>
      <c r="M136" s="33"/>
      <c r="N136" s="33"/>
      <c r="O136" s="38"/>
      <c r="P136" s="45"/>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BB136" s="2"/>
      <c r="BC136" s="2"/>
    </row>
    <row r="137" spans="1:54" ht="15">
      <c r="A137" s="33"/>
      <c r="B137" s="33"/>
      <c r="C137" s="33"/>
      <c r="D137" s="33"/>
      <c r="E137" s="33"/>
      <c r="F137" s="33"/>
      <c r="G137" s="33"/>
      <c r="H137" s="33"/>
      <c r="I137" s="33"/>
      <c r="J137" s="33"/>
      <c r="K137" s="33"/>
      <c r="L137" s="33"/>
      <c r="M137" s="33"/>
      <c r="N137" s="33"/>
      <c r="O137" s="46"/>
      <c r="P137" s="44"/>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BB137" s="13"/>
    </row>
    <row r="138" spans="1:54" ht="15">
      <c r="A138" s="33"/>
      <c r="B138" s="33"/>
      <c r="C138" s="33"/>
      <c r="D138" s="33"/>
      <c r="E138" s="33"/>
      <c r="F138" s="33"/>
      <c r="G138" s="33"/>
      <c r="H138" s="33"/>
      <c r="I138" s="33"/>
      <c r="J138" s="33"/>
      <c r="K138" s="33"/>
      <c r="L138" s="33"/>
      <c r="M138" s="33"/>
      <c r="N138" s="33"/>
      <c r="O138" s="47"/>
      <c r="P138" s="45"/>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BA138" s="5"/>
      <c r="BB138" s="18"/>
    </row>
    <row r="139" spans="1:54" ht="15">
      <c r="A139" s="33"/>
      <c r="B139" s="33"/>
      <c r="C139" s="33"/>
      <c r="D139" s="33"/>
      <c r="E139" s="33"/>
      <c r="F139" s="33"/>
      <c r="G139" s="33"/>
      <c r="H139" s="33"/>
      <c r="I139" s="33"/>
      <c r="J139" s="33"/>
      <c r="K139" s="33"/>
      <c r="L139" s="33"/>
      <c r="M139" s="33"/>
      <c r="N139" s="33"/>
      <c r="O139" s="48"/>
      <c r="P139" s="4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BA139" s="5"/>
      <c r="BB139" s="17"/>
    </row>
    <row r="140" spans="1:54" ht="15">
      <c r="A140" s="33"/>
      <c r="B140" s="33"/>
      <c r="C140" s="33"/>
      <c r="D140" s="33"/>
      <c r="E140" s="33"/>
      <c r="F140" s="33"/>
      <c r="G140" s="33"/>
      <c r="H140" s="33"/>
      <c r="I140" s="33"/>
      <c r="J140" s="33"/>
      <c r="K140" s="33"/>
      <c r="L140" s="33"/>
      <c r="M140" s="33"/>
      <c r="N140" s="33"/>
      <c r="O140" s="47"/>
      <c r="P140" s="45"/>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BA140" s="5"/>
      <c r="BB140" s="18"/>
    </row>
    <row r="141" spans="1:54" ht="15">
      <c r="A141" s="33"/>
      <c r="B141" s="33"/>
      <c r="C141" s="33"/>
      <c r="D141" s="33"/>
      <c r="E141" s="33"/>
      <c r="F141" s="33"/>
      <c r="G141" s="33"/>
      <c r="H141" s="33"/>
      <c r="I141" s="33"/>
      <c r="J141" s="33"/>
      <c r="K141" s="33"/>
      <c r="L141" s="33"/>
      <c r="M141" s="33"/>
      <c r="N141" s="33"/>
      <c r="O141" s="46"/>
      <c r="P141" s="44"/>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BA141" s="5"/>
      <c r="BB141" s="18"/>
    </row>
    <row r="142" spans="1:54" ht="15">
      <c r="A142" s="33"/>
      <c r="B142" s="33"/>
      <c r="C142" s="33"/>
      <c r="D142" s="33"/>
      <c r="E142" s="33"/>
      <c r="F142" s="33"/>
      <c r="G142" s="33"/>
      <c r="H142" s="33"/>
      <c r="I142" s="33"/>
      <c r="J142" s="33"/>
      <c r="K142" s="33"/>
      <c r="L142" s="33"/>
      <c r="M142" s="33"/>
      <c r="N142" s="33"/>
      <c r="O142" s="38"/>
      <c r="P142" s="44"/>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BB142" s="14"/>
    </row>
    <row r="143" spans="1:55" ht="15">
      <c r="A143" s="33"/>
      <c r="B143" s="33"/>
      <c r="C143" s="33"/>
      <c r="D143" s="33"/>
      <c r="E143" s="33"/>
      <c r="F143" s="33"/>
      <c r="G143" s="33"/>
      <c r="H143" s="33"/>
      <c r="I143" s="33"/>
      <c r="J143" s="33"/>
      <c r="K143" s="33"/>
      <c r="L143" s="33"/>
      <c r="M143" s="33"/>
      <c r="N143" s="33"/>
      <c r="O143" s="38"/>
      <c r="P143" s="38"/>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BB143" s="2"/>
      <c r="BC143" s="2"/>
    </row>
    <row r="144" spans="1:55" ht="15">
      <c r="A144" s="33"/>
      <c r="B144" s="33"/>
      <c r="C144" s="33"/>
      <c r="D144" s="33"/>
      <c r="E144" s="33"/>
      <c r="F144" s="33"/>
      <c r="G144" s="33"/>
      <c r="H144" s="33"/>
      <c r="I144" s="33"/>
      <c r="J144" s="33"/>
      <c r="K144" s="33"/>
      <c r="L144" s="33"/>
      <c r="M144" s="33"/>
      <c r="N144" s="33"/>
      <c r="O144" s="38"/>
      <c r="P144" s="39"/>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BB144" s="2"/>
      <c r="BC144" s="11"/>
    </row>
    <row r="145" spans="1:54" ht="15">
      <c r="A145" s="33"/>
      <c r="B145" s="33"/>
      <c r="C145" s="33"/>
      <c r="D145" s="33"/>
      <c r="E145" s="33"/>
      <c r="F145" s="33"/>
      <c r="G145" s="33"/>
      <c r="H145" s="33"/>
      <c r="I145" s="33"/>
      <c r="J145" s="33"/>
      <c r="K145" s="33"/>
      <c r="L145" s="33"/>
      <c r="M145" s="33"/>
      <c r="N145" s="33"/>
      <c r="O145" s="38"/>
      <c r="P145" s="38"/>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BB145" s="4"/>
    </row>
    <row r="146" spans="1:55" ht="15">
      <c r="A146" s="33"/>
      <c r="B146" s="33"/>
      <c r="C146" s="33"/>
      <c r="D146" s="33"/>
      <c r="E146" s="33"/>
      <c r="F146" s="33"/>
      <c r="G146" s="33"/>
      <c r="H146" s="33"/>
      <c r="I146" s="33"/>
      <c r="J146" s="33"/>
      <c r="K146" s="33"/>
      <c r="L146" s="33"/>
      <c r="M146" s="33"/>
      <c r="N146" s="33"/>
      <c r="O146" s="49"/>
      <c r="P146" s="38"/>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BB146" s="2"/>
      <c r="BC146" s="2"/>
    </row>
    <row r="147" spans="1:56" ht="17.25" customHeight="1">
      <c r="A147" s="33"/>
      <c r="B147" s="33"/>
      <c r="C147" s="33"/>
      <c r="D147" s="33"/>
      <c r="E147" s="33"/>
      <c r="F147" s="33"/>
      <c r="G147" s="33"/>
      <c r="H147" s="33"/>
      <c r="I147" s="33"/>
      <c r="J147" s="33"/>
      <c r="K147" s="33"/>
      <c r="L147" s="33"/>
      <c r="M147" s="33"/>
      <c r="N147" s="33"/>
      <c r="O147" s="85" t="s">
        <v>145</v>
      </c>
      <c r="P147" s="85"/>
      <c r="Q147" s="85"/>
      <c r="R147" s="85"/>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BA147" s="12" t="s">
        <v>67</v>
      </c>
      <c r="BC147" s="3" t="s">
        <v>12</v>
      </c>
      <c r="BD147" s="3" t="s">
        <v>13</v>
      </c>
    </row>
    <row r="148" spans="1:40" ht="25.5" customHeight="1">
      <c r="A148" s="33"/>
      <c r="B148" s="33"/>
      <c r="C148" s="33"/>
      <c r="D148" s="33"/>
      <c r="E148" s="33"/>
      <c r="F148" s="33"/>
      <c r="G148" s="33"/>
      <c r="H148" s="33"/>
      <c r="I148" s="33"/>
      <c r="J148" s="33"/>
      <c r="K148" s="33"/>
      <c r="L148" s="33"/>
      <c r="M148" s="33"/>
      <c r="N148" s="33"/>
      <c r="O148" s="81" t="s">
        <v>104</v>
      </c>
      <c r="P148" s="82"/>
      <c r="Q148" s="82"/>
      <c r="R148" s="82"/>
      <c r="S148" s="33"/>
      <c r="T148" s="33"/>
      <c r="U148" s="33"/>
      <c r="V148" s="33"/>
      <c r="W148" s="33"/>
      <c r="X148" s="33"/>
      <c r="Y148" s="33"/>
      <c r="Z148" s="33"/>
      <c r="AA148" s="33"/>
      <c r="AB148" s="33"/>
      <c r="AC148" s="33"/>
      <c r="AD148" s="33"/>
      <c r="AE148" s="33"/>
      <c r="AF148" s="33"/>
      <c r="AG148" s="33"/>
      <c r="AH148" s="33"/>
      <c r="AI148" s="33"/>
      <c r="AJ148" s="33"/>
      <c r="AK148" s="33"/>
      <c r="AL148" s="33"/>
      <c r="AM148" s="33"/>
      <c r="AN148" s="33"/>
    </row>
    <row r="149" spans="1:55" ht="19.5" customHeight="1">
      <c r="A149" s="33"/>
      <c r="B149" s="33"/>
      <c r="C149" s="33"/>
      <c r="D149" s="33"/>
      <c r="E149" s="33"/>
      <c r="F149" s="33"/>
      <c r="G149" s="33"/>
      <c r="H149" s="33"/>
      <c r="I149" s="33"/>
      <c r="J149" s="33"/>
      <c r="K149" s="33"/>
      <c r="L149" s="33"/>
      <c r="M149" s="33"/>
      <c r="N149" s="33"/>
      <c r="O149" s="88" t="s">
        <v>22</v>
      </c>
      <c r="P149" s="82"/>
      <c r="Q149" s="82"/>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BA149" t="s">
        <v>4</v>
      </c>
      <c r="BB149" s="6">
        <f>'Stocker Calculations'!P77</f>
        <v>510</v>
      </c>
      <c r="BC149" s="11"/>
    </row>
    <row r="150" spans="1:55" ht="12.75">
      <c r="A150" s="33"/>
      <c r="B150" s="33"/>
      <c r="C150" s="33"/>
      <c r="D150" s="33"/>
      <c r="E150" s="33"/>
      <c r="F150" s="33"/>
      <c r="G150" s="33"/>
      <c r="H150" s="33"/>
      <c r="I150" s="33"/>
      <c r="J150" s="33"/>
      <c r="K150" s="33"/>
      <c r="L150" s="33"/>
      <c r="M150" s="33"/>
      <c r="N150" s="33"/>
      <c r="O150" s="60" t="s">
        <v>20</v>
      </c>
      <c r="P150" s="50">
        <v>0.77</v>
      </c>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BA150" t="s">
        <v>122</v>
      </c>
      <c r="BB150" s="2">
        <f>'Stocker Calculations'!P78</f>
        <v>3.5</v>
      </c>
      <c r="BC150" s="11">
        <f>BB150</f>
        <v>3.5</v>
      </c>
    </row>
    <row r="151" spans="1:55" ht="12.75">
      <c r="A151" s="33"/>
      <c r="B151" s="33"/>
      <c r="C151" s="33"/>
      <c r="D151" s="33"/>
      <c r="E151" s="33"/>
      <c r="F151" s="33"/>
      <c r="G151" s="33"/>
      <c r="H151" s="33"/>
      <c r="I151" s="33"/>
      <c r="J151" s="33"/>
      <c r="K151" s="33"/>
      <c r="L151" s="33"/>
      <c r="M151" s="33"/>
      <c r="N151" s="33"/>
      <c r="O151" s="61" t="s">
        <v>21</v>
      </c>
      <c r="P151" s="51">
        <v>500</v>
      </c>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BA151" t="s">
        <v>17</v>
      </c>
      <c r="BB151" s="2">
        <f>'Stocker Calculations'!P79</f>
        <v>10</v>
      </c>
      <c r="BC151" s="11">
        <f>(BB151*1)</f>
        <v>10</v>
      </c>
    </row>
    <row r="152" spans="1:54" ht="12.75">
      <c r="A152" s="33"/>
      <c r="B152" s="33"/>
      <c r="C152" s="33"/>
      <c r="D152" s="33"/>
      <c r="E152" s="33"/>
      <c r="F152" s="33"/>
      <c r="G152" s="33"/>
      <c r="H152" s="33"/>
      <c r="I152" s="33"/>
      <c r="J152" s="33"/>
      <c r="K152" s="33"/>
      <c r="L152" s="33"/>
      <c r="M152" s="33"/>
      <c r="N152" s="33"/>
      <c r="O152" s="61" t="s">
        <v>124</v>
      </c>
      <c r="P152" s="52">
        <v>3</v>
      </c>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BA152" t="s">
        <v>9</v>
      </c>
      <c r="BB152" s="4">
        <f>'Stocker Calculations'!P80</f>
        <v>0.1</v>
      </c>
    </row>
    <row r="153" spans="1:55" ht="12.75">
      <c r="A153" s="33"/>
      <c r="B153" s="33"/>
      <c r="C153" s="33"/>
      <c r="D153" s="33"/>
      <c r="E153" s="33"/>
      <c r="F153" s="33"/>
      <c r="G153" s="33"/>
      <c r="H153" s="33"/>
      <c r="I153" s="33"/>
      <c r="J153" s="33"/>
      <c r="K153" s="33"/>
      <c r="L153" s="33"/>
      <c r="M153" s="33"/>
      <c r="N153" s="33"/>
      <c r="O153" s="60" t="s">
        <v>79</v>
      </c>
      <c r="P153" s="52">
        <v>11</v>
      </c>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BA153" t="s">
        <v>103</v>
      </c>
      <c r="BB153" s="9">
        <f>((((BB152/365)*BB173*0.5)*(BC151+BC155+BC170+BC174+BC175+BC177+BC178+BC180+BC181+BC190))+(((BB152/365)*BB173)*(BC150+BC151+BC176+(BD189-(25+BC155+BC170+BC174+BC175+BC176+BC177+BC178+BC180+BC181+BC190)))))</f>
        <v>22.592595577910956</v>
      </c>
      <c r="BC153" s="11">
        <f>BB153*1</f>
        <v>22.592595577910956</v>
      </c>
    </row>
    <row r="154" spans="1:55" ht="12.75">
      <c r="A154" s="33"/>
      <c r="B154" s="33"/>
      <c r="C154" s="33"/>
      <c r="D154" s="33"/>
      <c r="E154" s="33"/>
      <c r="F154" s="33"/>
      <c r="G154" s="33"/>
      <c r="H154" s="33"/>
      <c r="I154" s="33"/>
      <c r="J154" s="33"/>
      <c r="K154" s="33"/>
      <c r="L154" s="33"/>
      <c r="M154" s="33"/>
      <c r="N154" s="33"/>
      <c r="O154" s="60" t="s">
        <v>116</v>
      </c>
      <c r="P154" s="53">
        <v>0.1</v>
      </c>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BA154" t="s">
        <v>35</v>
      </c>
      <c r="BB154" s="22">
        <f>'Stocker Calculations'!P84</f>
        <v>0</v>
      </c>
      <c r="BC154" s="2"/>
    </row>
    <row r="155" spans="1:55" ht="12.75">
      <c r="A155" s="33"/>
      <c r="B155" s="33"/>
      <c r="C155" s="33"/>
      <c r="D155" s="33"/>
      <c r="E155" s="33"/>
      <c r="F155" s="33"/>
      <c r="G155" s="33"/>
      <c r="H155" s="33"/>
      <c r="I155" s="33"/>
      <c r="J155" s="33"/>
      <c r="K155" s="33"/>
      <c r="L155" s="33"/>
      <c r="M155" s="33"/>
      <c r="N155" s="33"/>
      <c r="O155" s="36" t="s">
        <v>132</v>
      </c>
      <c r="P155" s="35"/>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BA155" t="s">
        <v>0</v>
      </c>
      <c r="BB155" s="26">
        <f>'Stocker Calculations'!P82</f>
        <v>0</v>
      </c>
      <c r="BC155" s="2">
        <f>(BB155*BB156*BB154)</f>
        <v>0</v>
      </c>
    </row>
    <row r="156" spans="1:54" ht="12.75">
      <c r="A156" s="33"/>
      <c r="B156" s="33"/>
      <c r="C156" s="33"/>
      <c r="D156" s="33"/>
      <c r="E156" s="33"/>
      <c r="F156" s="33"/>
      <c r="G156" s="33"/>
      <c r="H156" s="33"/>
      <c r="I156" s="33"/>
      <c r="J156" s="33"/>
      <c r="K156" s="33"/>
      <c r="L156" s="33"/>
      <c r="M156" s="33"/>
      <c r="N156" s="33"/>
      <c r="O156" s="62" t="s">
        <v>111</v>
      </c>
      <c r="P156" s="54">
        <v>0</v>
      </c>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BA156" t="s">
        <v>55</v>
      </c>
      <c r="BB156" s="13">
        <f>'Stocker Calculations'!P83</f>
        <v>0</v>
      </c>
    </row>
    <row r="157" spans="1:54" ht="12.75" customHeight="1">
      <c r="A157" s="33"/>
      <c r="B157" s="33"/>
      <c r="C157" s="33"/>
      <c r="D157" s="33"/>
      <c r="E157" s="33"/>
      <c r="F157" s="33"/>
      <c r="G157" s="33"/>
      <c r="H157" s="33"/>
      <c r="I157" s="33"/>
      <c r="J157" s="33"/>
      <c r="K157" s="33"/>
      <c r="L157" s="33"/>
      <c r="M157" s="33"/>
      <c r="N157" s="33"/>
      <c r="O157" s="62" t="s">
        <v>82</v>
      </c>
      <c r="P157" s="55">
        <v>0</v>
      </c>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BA157" s="5" t="s">
        <v>53</v>
      </c>
      <c r="BB157" s="8" t="e">
        <f>((BB171-BB149)*(1-(BB184*0.5)))/BB154</f>
        <v>#DIV/0!</v>
      </c>
    </row>
    <row r="158" spans="1:54" ht="12.75" customHeight="1">
      <c r="A158" s="33"/>
      <c r="B158" s="33"/>
      <c r="C158" s="33"/>
      <c r="D158" s="33"/>
      <c r="E158" s="33"/>
      <c r="F158" s="33"/>
      <c r="G158" s="33"/>
      <c r="H158" s="33"/>
      <c r="I158" s="33"/>
      <c r="J158" s="33"/>
      <c r="K158" s="33"/>
      <c r="L158" s="33"/>
      <c r="M158" s="33"/>
      <c r="N158" s="33"/>
      <c r="O158" s="62" t="s">
        <v>35</v>
      </c>
      <c r="P158" s="56">
        <v>0</v>
      </c>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BA158" s="5" t="s">
        <v>54</v>
      </c>
      <c r="BB158" s="8" t="e">
        <f>((BB171-BB149)/BB154)</f>
        <v>#DIV/0!</v>
      </c>
    </row>
    <row r="159" spans="1:54" ht="12.75" customHeight="1" thickBot="1">
      <c r="A159" s="33"/>
      <c r="B159" s="33"/>
      <c r="C159" s="33"/>
      <c r="D159" s="33"/>
      <c r="E159" s="33"/>
      <c r="F159" s="33"/>
      <c r="G159" s="33"/>
      <c r="H159" s="33"/>
      <c r="I159" s="33"/>
      <c r="J159" s="33"/>
      <c r="K159" s="33"/>
      <c r="L159" s="33"/>
      <c r="M159" s="33"/>
      <c r="N159" s="33"/>
      <c r="O159" s="62" t="s">
        <v>30</v>
      </c>
      <c r="P159" s="74">
        <v>0</v>
      </c>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BA159" s="5" t="s">
        <v>43</v>
      </c>
      <c r="BB159" s="7">
        <f>(BB156*BB154)</f>
        <v>0</v>
      </c>
    </row>
    <row r="160" spans="1:54" ht="12.75" customHeight="1" thickBot="1">
      <c r="A160" s="33"/>
      <c r="B160" s="33"/>
      <c r="C160" s="33"/>
      <c r="D160" s="33"/>
      <c r="E160" s="33"/>
      <c r="F160" s="33"/>
      <c r="G160" s="33"/>
      <c r="H160" s="33"/>
      <c r="I160" s="33"/>
      <c r="J160" s="33"/>
      <c r="K160" s="33"/>
      <c r="L160" s="33"/>
      <c r="M160" s="33"/>
      <c r="N160" s="33"/>
      <c r="O160" s="71" t="s">
        <v>83</v>
      </c>
      <c r="P160" s="76">
        <v>9</v>
      </c>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BA160" s="5" t="s">
        <v>44</v>
      </c>
      <c r="BB160" s="8">
        <f>(BB156*BB154)*(1-(BB184*0.5))</f>
        <v>0</v>
      </c>
    </row>
    <row r="161" spans="1:54" ht="12.75" customHeight="1" thickBot="1">
      <c r="A161" s="33"/>
      <c r="B161" s="33"/>
      <c r="C161" s="33"/>
      <c r="D161" s="33"/>
      <c r="E161" s="33"/>
      <c r="F161" s="33"/>
      <c r="G161" s="33"/>
      <c r="H161" s="33"/>
      <c r="I161" s="33"/>
      <c r="J161" s="33"/>
      <c r="K161" s="33"/>
      <c r="L161" s="33"/>
      <c r="M161" s="33"/>
      <c r="N161" s="33"/>
      <c r="O161" s="62" t="s">
        <v>31</v>
      </c>
      <c r="P161" s="75">
        <v>0</v>
      </c>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BA161" s="5" t="s">
        <v>119</v>
      </c>
      <c r="BB161" s="8">
        <f>((BB189-BB171)*(1-(BB184*0.5)))/BB172</f>
        <v>2.7868487499999994</v>
      </c>
    </row>
    <row r="162" spans="1:54" ht="12.75" customHeight="1" thickBot="1">
      <c r="A162" s="33"/>
      <c r="B162" s="33"/>
      <c r="C162" s="33"/>
      <c r="D162" s="33"/>
      <c r="E162" s="33"/>
      <c r="F162" s="33"/>
      <c r="G162" s="33"/>
      <c r="H162" s="33"/>
      <c r="I162" s="33"/>
      <c r="J162" s="33"/>
      <c r="K162" s="33"/>
      <c r="L162" s="33"/>
      <c r="M162" s="33"/>
      <c r="N162" s="33"/>
      <c r="O162" s="71" t="s">
        <v>23</v>
      </c>
      <c r="P162" s="76">
        <v>15</v>
      </c>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BA162" s="5" t="s">
        <v>120</v>
      </c>
      <c r="BB162" s="8">
        <f>(BB189-BB171)/BB172</f>
        <v>2.7938333333333327</v>
      </c>
    </row>
    <row r="163" spans="1:54" ht="12.75" customHeight="1" thickBot="1">
      <c r="A163" s="33"/>
      <c r="B163" s="33"/>
      <c r="C163" s="33"/>
      <c r="D163" s="33"/>
      <c r="E163" s="33"/>
      <c r="F163" s="33"/>
      <c r="G163" s="33"/>
      <c r="H163" s="33"/>
      <c r="I163" s="33"/>
      <c r="J163" s="33"/>
      <c r="K163" s="33"/>
      <c r="L163" s="33"/>
      <c r="M163" s="33"/>
      <c r="N163" s="33"/>
      <c r="O163" s="62" t="s">
        <v>84</v>
      </c>
      <c r="P163" s="75">
        <v>0</v>
      </c>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BA163" s="5" t="s">
        <v>56</v>
      </c>
      <c r="BB163" s="8">
        <f>(BB169*BB172)</f>
        <v>750</v>
      </c>
    </row>
    <row r="164" spans="1:54" ht="12.75" customHeight="1" thickBot="1">
      <c r="A164" s="33"/>
      <c r="B164" s="33"/>
      <c r="C164" s="33"/>
      <c r="D164" s="33"/>
      <c r="E164" s="33"/>
      <c r="F164" s="33"/>
      <c r="G164" s="33"/>
      <c r="H164" s="33"/>
      <c r="I164" s="33"/>
      <c r="J164" s="33"/>
      <c r="K164" s="33"/>
      <c r="L164" s="33"/>
      <c r="M164" s="33"/>
      <c r="N164" s="33"/>
      <c r="O164" s="72" t="s">
        <v>134</v>
      </c>
      <c r="P164" s="76">
        <v>18</v>
      </c>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BA164" s="5" t="s">
        <v>57</v>
      </c>
      <c r="BB164" s="8">
        <f>(BB169*BB172)*(1-(BB184*0.5))</f>
        <v>748.125</v>
      </c>
    </row>
    <row r="165" spans="1:54" ht="12.75" customHeight="1" thickBot="1">
      <c r="A165" s="33"/>
      <c r="B165" s="33"/>
      <c r="C165" s="33"/>
      <c r="D165" s="33"/>
      <c r="E165" s="33"/>
      <c r="F165" s="33"/>
      <c r="G165" s="33"/>
      <c r="H165" s="33"/>
      <c r="I165" s="33"/>
      <c r="J165" s="33"/>
      <c r="K165" s="33"/>
      <c r="L165" s="33"/>
      <c r="M165" s="33"/>
      <c r="N165" s="33"/>
      <c r="O165" s="63" t="s">
        <v>32</v>
      </c>
      <c r="P165" s="75">
        <v>0</v>
      </c>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BA165" s="5" t="s">
        <v>76</v>
      </c>
      <c r="BB165" s="8">
        <f>(BB189-BB149)/BB173</f>
        <v>2.7271666666666663</v>
      </c>
    </row>
    <row r="166" spans="1:54" ht="12.75" customHeight="1" thickBot="1">
      <c r="A166" s="33"/>
      <c r="B166" s="33"/>
      <c r="C166" s="33"/>
      <c r="D166" s="33"/>
      <c r="E166" s="33"/>
      <c r="F166" s="33"/>
      <c r="G166" s="33"/>
      <c r="H166" s="33"/>
      <c r="I166" s="33"/>
      <c r="J166" s="33"/>
      <c r="K166" s="33"/>
      <c r="L166" s="33"/>
      <c r="M166" s="33"/>
      <c r="N166" s="33"/>
      <c r="O166" s="73" t="s">
        <v>41</v>
      </c>
      <c r="P166" s="77">
        <v>500</v>
      </c>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BA166" s="5" t="s">
        <v>78</v>
      </c>
      <c r="BB166" s="8">
        <f>((BB189-BB149)*(1-(BB185*0.5)))/BB173</f>
        <v>2.72034875</v>
      </c>
    </row>
    <row r="167" spans="1:54" ht="12.75" customHeight="1">
      <c r="A167" s="33"/>
      <c r="B167" s="33"/>
      <c r="C167" s="33"/>
      <c r="D167" s="33"/>
      <c r="E167" s="33"/>
      <c r="F167" s="33"/>
      <c r="G167" s="33"/>
      <c r="H167" s="33"/>
      <c r="I167" s="33"/>
      <c r="J167" s="33"/>
      <c r="K167" s="33"/>
      <c r="L167" s="33"/>
      <c r="M167" s="33"/>
      <c r="N167" s="33"/>
      <c r="O167" s="37" t="s">
        <v>33</v>
      </c>
      <c r="P167" s="35"/>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BA167" s="5" t="s">
        <v>73</v>
      </c>
      <c r="BB167" s="8">
        <f>BB159/(BB171-BB149)</f>
        <v>0</v>
      </c>
    </row>
    <row r="168" spans="1:54" ht="12.75" customHeight="1">
      <c r="A168" s="33"/>
      <c r="B168" s="33"/>
      <c r="C168" s="33"/>
      <c r="D168" s="33"/>
      <c r="E168" s="33"/>
      <c r="F168" s="33"/>
      <c r="G168" s="33"/>
      <c r="H168" s="33"/>
      <c r="I168" s="33"/>
      <c r="J168" s="33"/>
      <c r="K168" s="33"/>
      <c r="L168" s="33"/>
      <c r="M168" s="33"/>
      <c r="N168" s="33"/>
      <c r="O168" s="63" t="s">
        <v>114</v>
      </c>
      <c r="P168" s="54">
        <v>0.04</v>
      </c>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BA168" s="5" t="s">
        <v>74</v>
      </c>
      <c r="BB168" s="8">
        <f>BB160/(BB171-BB149)</f>
        <v>0</v>
      </c>
    </row>
    <row r="169" spans="1:54" ht="12.75" customHeight="1">
      <c r="A169" s="33"/>
      <c r="B169" s="33"/>
      <c r="C169" s="33"/>
      <c r="D169" s="33"/>
      <c r="E169" s="33"/>
      <c r="F169" s="33"/>
      <c r="G169" s="33"/>
      <c r="H169" s="33"/>
      <c r="I169" s="33"/>
      <c r="J169" s="33"/>
      <c r="K169" s="33"/>
      <c r="L169" s="33"/>
      <c r="M169" s="33"/>
      <c r="N169" s="33"/>
      <c r="O169" s="63" t="s">
        <v>85</v>
      </c>
      <c r="P169" s="51">
        <v>5</v>
      </c>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BA169" s="5" t="s">
        <v>58</v>
      </c>
      <c r="BB169" s="17">
        <f>'Stocker Calculations'!P95</f>
        <v>5</v>
      </c>
    </row>
    <row r="170" spans="1:55" ht="12.75" customHeight="1">
      <c r="A170" s="33"/>
      <c r="B170" s="33"/>
      <c r="C170" s="33"/>
      <c r="D170" s="33"/>
      <c r="E170" s="33"/>
      <c r="F170" s="33"/>
      <c r="G170" s="33"/>
      <c r="H170" s="33"/>
      <c r="I170" s="33"/>
      <c r="J170" s="33"/>
      <c r="K170" s="33"/>
      <c r="L170" s="33"/>
      <c r="M170" s="33"/>
      <c r="N170" s="33"/>
      <c r="O170" s="63" t="s">
        <v>36</v>
      </c>
      <c r="P170" s="56">
        <v>150</v>
      </c>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BA170" s="5" t="s">
        <v>59</v>
      </c>
      <c r="BB170" s="27">
        <f>'Stocker Calculations'!P94</f>
        <v>0.04</v>
      </c>
      <c r="BC170" s="2">
        <f>(BB164*BB170)</f>
        <v>29.925</v>
      </c>
    </row>
    <row r="171" spans="1:54" ht="12.75" customHeight="1">
      <c r="A171" s="33"/>
      <c r="B171" s="33"/>
      <c r="C171" s="33"/>
      <c r="D171" s="33"/>
      <c r="E171" s="33"/>
      <c r="F171" s="33"/>
      <c r="G171" s="33"/>
      <c r="H171" s="33"/>
      <c r="I171" s="33"/>
      <c r="J171" s="33"/>
      <c r="K171" s="33"/>
      <c r="L171" s="33"/>
      <c r="M171" s="33"/>
      <c r="N171" s="33"/>
      <c r="O171" s="63" t="s">
        <v>37</v>
      </c>
      <c r="P171" s="52">
        <v>0.2</v>
      </c>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BA171" s="5" t="s">
        <v>34</v>
      </c>
      <c r="BB171" s="15">
        <f>'Stocker Calculations'!P92</f>
        <v>500</v>
      </c>
    </row>
    <row r="172" spans="1:54" ht="12.75" customHeight="1">
      <c r="A172" s="33"/>
      <c r="B172" s="33"/>
      <c r="C172" s="33"/>
      <c r="D172" s="33"/>
      <c r="E172" s="33"/>
      <c r="F172" s="33"/>
      <c r="G172" s="33"/>
      <c r="H172" s="33"/>
      <c r="I172" s="33"/>
      <c r="J172" s="33"/>
      <c r="K172" s="33"/>
      <c r="L172" s="33"/>
      <c r="M172" s="33"/>
      <c r="N172" s="33"/>
      <c r="O172" s="63" t="s">
        <v>38</v>
      </c>
      <c r="P172" s="53">
        <v>0.1</v>
      </c>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BA172" s="5" t="s">
        <v>36</v>
      </c>
      <c r="BB172" s="19">
        <f>'Stocker Calculations'!P96</f>
        <v>150</v>
      </c>
    </row>
    <row r="173" spans="1:54" ht="12.75">
      <c r="A173" s="33"/>
      <c r="B173" s="33"/>
      <c r="C173" s="33"/>
      <c r="D173" s="33"/>
      <c r="E173" s="33"/>
      <c r="F173" s="33"/>
      <c r="G173" s="33"/>
      <c r="H173" s="33"/>
      <c r="I173" s="33"/>
      <c r="J173" s="33"/>
      <c r="K173" s="33"/>
      <c r="L173" s="33"/>
      <c r="M173" s="33"/>
      <c r="N173" s="33"/>
      <c r="O173" s="63" t="s">
        <v>39</v>
      </c>
      <c r="P173" s="53">
        <v>0.1</v>
      </c>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BA173" t="s">
        <v>42</v>
      </c>
      <c r="BB173" s="14">
        <f>'Stocker Calculations'!P84+'Stocker Calculations'!P96</f>
        <v>150</v>
      </c>
    </row>
    <row r="174" spans="1:55" ht="12.75">
      <c r="A174" s="33"/>
      <c r="B174" s="33"/>
      <c r="C174" s="33"/>
      <c r="D174" s="33"/>
      <c r="E174" s="33"/>
      <c r="F174" s="33"/>
      <c r="G174" s="33"/>
      <c r="H174" s="33"/>
      <c r="I174" s="33"/>
      <c r="J174" s="33"/>
      <c r="K174" s="33"/>
      <c r="L174" s="33"/>
      <c r="M174" s="33"/>
      <c r="N174" s="33"/>
      <c r="O174" s="63" t="s">
        <v>40</v>
      </c>
      <c r="P174" s="53">
        <v>0.005</v>
      </c>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BA174" t="s">
        <v>46</v>
      </c>
      <c r="BB174" s="11">
        <f>'Stocker Calculations'!P85</f>
        <v>0</v>
      </c>
      <c r="BC174" s="2">
        <f>(BB154*BB174)</f>
        <v>0</v>
      </c>
    </row>
    <row r="175" spans="1:55" ht="12.75">
      <c r="A175" s="33"/>
      <c r="B175" s="33"/>
      <c r="C175" s="33"/>
      <c r="D175" s="33"/>
      <c r="E175" s="33"/>
      <c r="F175" s="33"/>
      <c r="G175" s="33"/>
      <c r="H175" s="33"/>
      <c r="I175" s="33"/>
      <c r="J175" s="33"/>
      <c r="K175" s="33"/>
      <c r="L175" s="33"/>
      <c r="M175" s="33"/>
      <c r="N175" s="33"/>
      <c r="O175" s="65" t="s">
        <v>25</v>
      </c>
      <c r="P175" s="51">
        <v>947.5</v>
      </c>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BA175" t="s">
        <v>45</v>
      </c>
      <c r="BB175" s="11">
        <f>'Stocker Calculations'!P97</f>
        <v>0.2</v>
      </c>
      <c r="BC175" s="2">
        <f>(BB172*BB175)</f>
        <v>30</v>
      </c>
    </row>
    <row r="176" spans="1:55" ht="12.75">
      <c r="A176" s="33"/>
      <c r="B176" s="33"/>
      <c r="C176" s="33"/>
      <c r="D176" s="33"/>
      <c r="E176" s="33"/>
      <c r="F176" s="33"/>
      <c r="G176" s="33"/>
      <c r="H176" s="33"/>
      <c r="I176" s="33"/>
      <c r="J176" s="33"/>
      <c r="K176" s="33"/>
      <c r="L176" s="33"/>
      <c r="M176" s="33"/>
      <c r="N176" s="33"/>
      <c r="O176" s="66" t="s">
        <v>26</v>
      </c>
      <c r="P176" s="53">
        <v>0.03</v>
      </c>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BA176" t="s">
        <v>1</v>
      </c>
      <c r="BB176" s="11">
        <f>'Stocker Calculations'!P86</f>
        <v>9</v>
      </c>
      <c r="BC176" s="11">
        <f>(BB176*1)</f>
        <v>9</v>
      </c>
    </row>
    <row r="177" spans="1:55" ht="12.75">
      <c r="A177" s="33"/>
      <c r="B177" s="33"/>
      <c r="C177" s="33"/>
      <c r="D177" s="33"/>
      <c r="E177" s="33"/>
      <c r="F177" s="33"/>
      <c r="G177" s="33"/>
      <c r="H177" s="33"/>
      <c r="I177" s="33"/>
      <c r="J177" s="33"/>
      <c r="K177" s="33"/>
      <c r="L177" s="33"/>
      <c r="M177" s="33"/>
      <c r="N177" s="33"/>
      <c r="O177" s="64" t="s">
        <v>29</v>
      </c>
      <c r="P177" s="52">
        <v>1</v>
      </c>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BA177" t="s">
        <v>47</v>
      </c>
      <c r="BB177" s="16">
        <f>'Stocker Calculations'!P87</f>
        <v>0</v>
      </c>
      <c r="BC177" s="11">
        <f>(BB177*BB179)</f>
        <v>0</v>
      </c>
    </row>
    <row r="178" spans="1:55" ht="12.75">
      <c r="A178" s="33"/>
      <c r="B178" s="33"/>
      <c r="C178" s="33"/>
      <c r="D178" s="33"/>
      <c r="E178" s="33"/>
      <c r="F178" s="33"/>
      <c r="G178" s="33"/>
      <c r="H178" s="33"/>
      <c r="I178" s="33"/>
      <c r="J178" s="33"/>
      <c r="K178" s="33"/>
      <c r="L178" s="33"/>
      <c r="M178" s="33"/>
      <c r="N178" s="33"/>
      <c r="O178" s="64" t="s">
        <v>125</v>
      </c>
      <c r="P178" s="52">
        <v>5</v>
      </c>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BA178" t="s">
        <v>48</v>
      </c>
      <c r="BB178" s="16">
        <f>'Stocker Calculations'!P98</f>
        <v>0.1</v>
      </c>
      <c r="BC178" s="2">
        <f>(BB178*BB179)</f>
        <v>1.5</v>
      </c>
    </row>
    <row r="179" spans="1:55" ht="12.75">
      <c r="A179" s="33"/>
      <c r="B179" s="33"/>
      <c r="C179" s="33"/>
      <c r="D179" s="33"/>
      <c r="E179" s="33"/>
      <c r="F179" s="33"/>
      <c r="G179" s="33"/>
      <c r="H179" s="33"/>
      <c r="I179" s="33"/>
      <c r="J179" s="33"/>
      <c r="K179" s="33"/>
      <c r="L179" s="33"/>
      <c r="M179" s="33"/>
      <c r="N179" s="33"/>
      <c r="O179" s="60" t="s">
        <v>75</v>
      </c>
      <c r="P179" s="52">
        <v>36.0946</v>
      </c>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BA179" t="s">
        <v>15</v>
      </c>
      <c r="BB179" s="2">
        <f>'Stocker Calculations'!P88</f>
        <v>15</v>
      </c>
      <c r="BC179" s="2"/>
    </row>
    <row r="180" spans="1:55" ht="12.75" customHeight="1">
      <c r="A180" s="33"/>
      <c r="B180" s="33"/>
      <c r="C180" s="33"/>
      <c r="D180" s="33"/>
      <c r="E180" s="33"/>
      <c r="F180" s="33"/>
      <c r="G180" s="33"/>
      <c r="H180" s="33"/>
      <c r="I180" s="33"/>
      <c r="J180" s="33"/>
      <c r="K180" s="33"/>
      <c r="L180" s="33"/>
      <c r="M180" s="33"/>
      <c r="N180" s="33"/>
      <c r="O180" s="40" t="s">
        <v>27</v>
      </c>
      <c r="P180" s="40"/>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BA180" t="s">
        <v>51</v>
      </c>
      <c r="BB180" s="4">
        <f>'Stocker Calculations'!P89</f>
        <v>0</v>
      </c>
      <c r="BC180" s="2">
        <f>(BB177*BB180*BB182)</f>
        <v>0</v>
      </c>
    </row>
    <row r="181" spans="1:55" ht="16.5" customHeight="1">
      <c r="A181" s="33"/>
      <c r="B181" s="33"/>
      <c r="C181" s="33"/>
      <c r="D181" s="33"/>
      <c r="E181" s="33"/>
      <c r="F181" s="33"/>
      <c r="G181" s="33"/>
      <c r="H181" s="33"/>
      <c r="I181" s="33"/>
      <c r="J181" s="33"/>
      <c r="K181" s="33"/>
      <c r="L181" s="33"/>
      <c r="M181" s="33"/>
      <c r="N181" s="33"/>
      <c r="O181" s="60" t="s">
        <v>28</v>
      </c>
      <c r="P181" s="57">
        <f>'Stocker Calculations'!BB228</f>
        <v>17.827397260273976</v>
      </c>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BA181" t="s">
        <v>52</v>
      </c>
      <c r="BB181" s="4">
        <f>'Stocker Calculations'!P99</f>
        <v>0.1</v>
      </c>
      <c r="BC181" s="2">
        <f>(BB178*BB181*BB182)</f>
        <v>0.18000000000000005</v>
      </c>
    </row>
    <row r="182" spans="1:55" ht="12.75">
      <c r="A182" s="33"/>
      <c r="B182" s="33"/>
      <c r="C182" s="33"/>
      <c r="D182" s="33"/>
      <c r="E182" s="33"/>
      <c r="F182" s="33"/>
      <c r="G182" s="33"/>
      <c r="H182" s="33"/>
      <c r="I182" s="33"/>
      <c r="J182" s="33"/>
      <c r="K182" s="33"/>
      <c r="L182" s="33"/>
      <c r="M182" s="33"/>
      <c r="N182" s="33"/>
      <c r="O182" s="60" t="s">
        <v>139</v>
      </c>
      <c r="P182" s="58">
        <f>IF(P158&gt;0,'Stocker Calculations'!BB232,"")</f>
      </c>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BA182" t="s">
        <v>16</v>
      </c>
      <c r="BB182" s="2">
        <f>'Stocker Calculations'!P90</f>
        <v>18</v>
      </c>
      <c r="BC182" s="2"/>
    </row>
    <row r="183" spans="1:55" ht="12.75">
      <c r="A183" s="33"/>
      <c r="B183" s="33"/>
      <c r="C183" s="33"/>
      <c r="D183" s="33"/>
      <c r="E183" s="33"/>
      <c r="F183" s="33"/>
      <c r="G183" s="33"/>
      <c r="H183" s="33"/>
      <c r="I183" s="33"/>
      <c r="J183" s="33"/>
      <c r="K183" s="33"/>
      <c r="L183" s="33"/>
      <c r="M183" s="33"/>
      <c r="N183" s="33"/>
      <c r="O183" s="60" t="s">
        <v>142</v>
      </c>
      <c r="P183" s="58">
        <f>'Stocker Calculations'!BB236</f>
        <v>2.7868487499999994</v>
      </c>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BA183" t="s">
        <v>49</v>
      </c>
      <c r="BB183" s="4">
        <f>'Stocker Calculations'!P91</f>
        <v>0</v>
      </c>
      <c r="BC183" s="2"/>
    </row>
    <row r="184" spans="1:54" ht="12.75">
      <c r="A184" s="33"/>
      <c r="B184" s="33"/>
      <c r="C184" s="33"/>
      <c r="D184" s="33"/>
      <c r="E184" s="33"/>
      <c r="F184" s="33"/>
      <c r="G184" s="33"/>
      <c r="H184" s="33"/>
      <c r="I184" s="33"/>
      <c r="J184" s="33"/>
      <c r="K184" s="33"/>
      <c r="L184" s="33"/>
      <c r="M184" s="33"/>
      <c r="N184" s="33"/>
      <c r="O184" s="60" t="s">
        <v>141</v>
      </c>
      <c r="P184" s="58">
        <f>'Stocker Calculations'!BB241</f>
        <v>2.7868487499999994</v>
      </c>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BA184" t="s">
        <v>50</v>
      </c>
      <c r="BB184" s="4">
        <f>'Stocker Calculations'!P100</f>
        <v>0.005</v>
      </c>
    </row>
    <row r="185" spans="1:54" ht="12.75">
      <c r="A185" s="33"/>
      <c r="B185" s="33"/>
      <c r="C185" s="33"/>
      <c r="D185" s="33"/>
      <c r="E185" s="33"/>
      <c r="F185" s="33"/>
      <c r="G185" s="33"/>
      <c r="H185" s="33"/>
      <c r="I185" s="33"/>
      <c r="J185" s="33"/>
      <c r="K185" s="33"/>
      <c r="L185" s="33"/>
      <c r="M185" s="33"/>
      <c r="N185" s="33"/>
      <c r="O185" s="60" t="s">
        <v>117</v>
      </c>
      <c r="P185" s="58">
        <f>'Stocker Calculations'!BB235</f>
        <v>0</v>
      </c>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BA185" t="s">
        <v>60</v>
      </c>
      <c r="BB185" s="4">
        <f>(BB183+BB184)</f>
        <v>0.005</v>
      </c>
    </row>
    <row r="186" spans="1:56" ht="12.75">
      <c r="A186" s="33"/>
      <c r="B186" s="33"/>
      <c r="C186" s="33"/>
      <c r="D186" s="33"/>
      <c r="E186" s="33"/>
      <c r="F186" s="33"/>
      <c r="G186" s="33"/>
      <c r="H186" s="33"/>
      <c r="I186" s="33"/>
      <c r="J186" s="33"/>
      <c r="K186" s="33"/>
      <c r="L186" s="33"/>
      <c r="M186" s="33"/>
      <c r="N186" s="33"/>
      <c r="O186" s="60" t="s">
        <v>101</v>
      </c>
      <c r="P186" s="58">
        <f>'Stocker Calculations'!BB239</f>
        <v>748.125</v>
      </c>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BA186" t="s">
        <v>5</v>
      </c>
      <c r="BB186" s="25">
        <f>'Stocker Calculations'!P101</f>
        <v>0.6425</v>
      </c>
      <c r="BC186" s="2"/>
      <c r="BD186" s="2"/>
    </row>
    <row r="187" spans="1:54" ht="12.75">
      <c r="A187" s="33"/>
      <c r="B187" s="33"/>
      <c r="C187" s="33"/>
      <c r="D187" s="33"/>
      <c r="E187" s="33"/>
      <c r="F187" s="33"/>
      <c r="G187" s="33"/>
      <c r="H187" s="33"/>
      <c r="I187" s="33"/>
      <c r="J187" s="33"/>
      <c r="K187" s="33"/>
      <c r="L187" s="33"/>
      <c r="M187" s="33"/>
      <c r="N187" s="33"/>
      <c r="O187" s="61" t="s">
        <v>138</v>
      </c>
      <c r="P187" s="58">
        <f>IF(P158&gt;0,'Stocker Calculations'!BB243,"")</f>
      </c>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BA187" t="s">
        <v>6</v>
      </c>
      <c r="BB187" s="13">
        <f>'Stocker Calculations'!P102</f>
        <v>947.5</v>
      </c>
    </row>
    <row r="188" spans="1:54" ht="12.75">
      <c r="A188" s="33"/>
      <c r="B188" s="33"/>
      <c r="C188" s="33"/>
      <c r="D188" s="33"/>
      <c r="E188" s="33"/>
      <c r="F188" s="33"/>
      <c r="G188" s="33"/>
      <c r="H188" s="33"/>
      <c r="I188" s="33"/>
      <c r="J188" s="33"/>
      <c r="K188" s="33"/>
      <c r="L188" s="33"/>
      <c r="M188" s="33"/>
      <c r="N188" s="33"/>
      <c r="O188" s="61" t="s">
        <v>135</v>
      </c>
      <c r="P188" s="59">
        <f>IF(P158&gt;0,'Stocker Calculations'!BB269,"")</f>
      </c>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BA188" t="s">
        <v>7</v>
      </c>
      <c r="BB188" s="4">
        <f>'Stocker Calculations'!P103</f>
        <v>0.03</v>
      </c>
    </row>
    <row r="189" spans="1:56" ht="12.75">
      <c r="A189" s="33"/>
      <c r="B189" s="33"/>
      <c r="C189" s="33"/>
      <c r="D189" s="33"/>
      <c r="E189" s="33"/>
      <c r="F189" s="33"/>
      <c r="G189" s="33"/>
      <c r="H189" s="33"/>
      <c r="I189" s="33"/>
      <c r="J189" s="33"/>
      <c r="K189" s="33"/>
      <c r="L189" s="33"/>
      <c r="M189" s="33"/>
      <c r="N189" s="33"/>
      <c r="O189" s="61" t="s">
        <v>136</v>
      </c>
      <c r="P189" s="59">
        <f>IF(P158&gt;0,'Stocker Calculations'!BB271,'Stocker Calculations'!BB273)</f>
        <v>0.25997048958992663</v>
      </c>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BA189" t="s">
        <v>10</v>
      </c>
      <c r="BB189" s="8">
        <f>BB187*(1-BB188)</f>
        <v>919.0749999999999</v>
      </c>
      <c r="BD189" s="2">
        <f>(BB186*BB189*(1-BB185))</f>
        <v>587.5531590625</v>
      </c>
    </row>
    <row r="190" spans="1:55" ht="12.75">
      <c r="A190" s="33"/>
      <c r="B190" s="33"/>
      <c r="C190" s="33"/>
      <c r="D190" s="33"/>
      <c r="E190" s="33"/>
      <c r="F190" s="33"/>
      <c r="G190" s="33"/>
      <c r="H190" s="33"/>
      <c r="I190" s="33"/>
      <c r="J190" s="33"/>
      <c r="K190" s="33"/>
      <c r="L190" s="33"/>
      <c r="M190" s="33"/>
      <c r="N190" s="33"/>
      <c r="O190" s="61" t="s">
        <v>137</v>
      </c>
      <c r="P190" s="59">
        <f>'Stocker Calculations'!BB273</f>
        <v>0.25997048958992663</v>
      </c>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BA190" t="s">
        <v>14</v>
      </c>
      <c r="BB190" s="2">
        <f>'Stocker Calculations'!P104</f>
        <v>1</v>
      </c>
      <c r="BC190" s="2">
        <f>(BB190*1)*(1-BB185)</f>
        <v>0.995</v>
      </c>
    </row>
    <row r="191" spans="1:55" ht="12.75">
      <c r="A191" s="33"/>
      <c r="B191" s="33"/>
      <c r="C191" s="33"/>
      <c r="D191" s="33"/>
      <c r="E191" s="33"/>
      <c r="F191" s="33"/>
      <c r="G191" s="33"/>
      <c r="H191" s="33"/>
      <c r="I191" s="33"/>
      <c r="J191" s="33"/>
      <c r="K191" s="33"/>
      <c r="L191" s="33"/>
      <c r="M191" s="33"/>
      <c r="N191" s="33"/>
      <c r="O191" s="60" t="s">
        <v>105</v>
      </c>
      <c r="P191" s="67">
        <f>'Stocker Calculations'!BB274</f>
        <v>0.5790145376506055</v>
      </c>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BA191" t="s">
        <v>126</v>
      </c>
      <c r="BB191" s="2">
        <f>'Stocker Calculations'!P105</f>
        <v>5</v>
      </c>
      <c r="BC191" s="2">
        <f>(BB191*1)*(1-BB185)</f>
        <v>4.975</v>
      </c>
    </row>
    <row r="192" spans="1:55" ht="12.7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BA192" t="s">
        <v>2</v>
      </c>
      <c r="BB192" s="2">
        <f>'Stocker Calculations'!P106</f>
        <v>27.2698</v>
      </c>
      <c r="BC192" s="2">
        <f>(BB192*1)</f>
        <v>27.2698</v>
      </c>
    </row>
    <row r="193" spans="1:55" ht="12.75" customHeight="1">
      <c r="A193" s="33"/>
      <c r="B193" s="33"/>
      <c r="C193" s="33"/>
      <c r="D193" s="33"/>
      <c r="E193" s="33"/>
      <c r="F193" s="33"/>
      <c r="G193" s="33"/>
      <c r="H193" s="33"/>
      <c r="I193" s="33"/>
      <c r="J193" s="33"/>
      <c r="K193" s="33"/>
      <c r="L193" s="33"/>
      <c r="M193" s="33"/>
      <c r="N193" s="33"/>
      <c r="O193" s="34"/>
      <c r="P193" s="42"/>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BA193" s="20" t="s">
        <v>61</v>
      </c>
      <c r="BB193" s="10">
        <f>((((BB154/BB173)*(BC151+BC153))+(BC150+BC155+BC174+BC176+BC177+BC180))/(BB171-BB149))</f>
        <v>-1.25</v>
      </c>
      <c r="BC193" s="2"/>
    </row>
    <row r="194" spans="1:55" ht="12.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BA194" s="23" t="s">
        <v>69</v>
      </c>
      <c r="BB194" s="10">
        <f>((((BB154/BB173)*(BC151+BC153))+(BC150+BC155+BC174+BC176+BC177+BC180))/((BB171-BB149)*(1-BB183)))</f>
        <v>-1.25</v>
      </c>
      <c r="BC194" s="2"/>
    </row>
    <row r="195" spans="1:55" ht="12.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BA195" s="5" t="s">
        <v>62</v>
      </c>
      <c r="BB195" s="10">
        <f>((((BB172/BB173)*(BC151+BC153))+(BC170+BC175+BC178+BC181+BC190+BC191))/(BB189-BB171))</f>
        <v>0.23902068979994265</v>
      </c>
      <c r="BC195" s="2"/>
    </row>
    <row r="196" spans="1:55" ht="12.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BA196" s="23" t="s">
        <v>70</v>
      </c>
      <c r="BB196" s="10">
        <f>((((BB172/BB173)*(BC151+BC153))+(BC170+BC175+BC178+BC181+BC190+BC191))/((BB189-BB171)*(1-BB184)))</f>
        <v>0.2402217987939122</v>
      </c>
      <c r="BC196" s="2"/>
    </row>
    <row r="197" spans="1:55" ht="12.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BA197" s="5" t="s">
        <v>63</v>
      </c>
      <c r="BB197" s="10">
        <f>(SUM(BC149:BC191)/(BB189-BB149))</f>
        <v>0.2754203888722385</v>
      </c>
      <c r="BC197" s="2"/>
    </row>
    <row r="198" spans="1:55" ht="12.7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BA198" s="23" t="s">
        <v>71</v>
      </c>
      <c r="BB198" s="10">
        <f>(SUM(BC149:BC191)/((BB189-BB149)*(1-BB185)))</f>
        <v>0.27680441092687286</v>
      </c>
      <c r="BC198" s="2"/>
    </row>
    <row r="199" spans="1:55" ht="12.7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BA199" s="5" t="s">
        <v>66</v>
      </c>
      <c r="BB199" s="10">
        <f>(BD189-(SUM(BC148:BC192)))/BB149</f>
        <v>0.8776779676168412</v>
      </c>
      <c r="BC199" s="2"/>
    </row>
    <row r="200" spans="1:40" ht="12.7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row>
    <row r="201" spans="1:53" ht="12.7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BA201" t="s">
        <v>127</v>
      </c>
    </row>
    <row r="202" spans="1:53" ht="12.7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BA202" t="s">
        <v>88</v>
      </c>
    </row>
    <row r="203" spans="1:40" ht="12.7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row>
    <row r="204" spans="1:56" ht="12.7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BA204" s="78" t="s">
        <v>64</v>
      </c>
      <c r="BB204" s="78"/>
      <c r="BC204" s="78"/>
      <c r="BD204" s="78"/>
    </row>
    <row r="205" spans="1:56" ht="12.7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BA205" s="78"/>
      <c r="BB205" s="78"/>
      <c r="BC205" s="78"/>
      <c r="BD205" s="78"/>
    </row>
    <row r="206" spans="1:56" ht="12.7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BA206" s="78"/>
      <c r="BB206" s="78"/>
      <c r="BC206" s="78"/>
      <c r="BD206" s="78"/>
    </row>
    <row r="207" spans="1:40" ht="12.7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row>
    <row r="208" spans="1:56" ht="12.7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BA208" s="79" t="s">
        <v>106</v>
      </c>
      <c r="BB208" s="80"/>
      <c r="BC208" s="80"/>
      <c r="BD208" s="3"/>
    </row>
    <row r="209" spans="1:40" ht="12.7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row>
    <row r="210" spans="1:40" ht="12.7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row>
    <row r="211" spans="1:40" ht="12.7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row>
    <row r="212" spans="1:40" ht="12.7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row>
    <row r="213" spans="1:40" ht="12.7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row>
    <row r="214" spans="1:40" ht="12.7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row>
    <row r="215" spans="1:40" ht="12.7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row>
    <row r="216" spans="1:40" ht="12.7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row>
    <row r="217" spans="1:40" ht="12.7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row>
    <row r="218" spans="1:40" ht="12.7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row>
    <row r="219" spans="1:40" ht="12.7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row>
    <row r="220" spans="1:40" ht="12.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row>
    <row r="221" spans="53:56" ht="12.75" customHeight="1">
      <c r="BA221" s="12" t="s">
        <v>110</v>
      </c>
      <c r="BC221" s="3" t="s">
        <v>12</v>
      </c>
      <c r="BD221" s="3" t="s">
        <v>13</v>
      </c>
    </row>
    <row r="222" ht="12.75" customHeight="1">
      <c r="BD222" s="3"/>
    </row>
    <row r="223" spans="53:55" ht="12.75">
      <c r="BA223" s="21" t="s">
        <v>8</v>
      </c>
      <c r="BB223" s="28">
        <f>'Stocker Calculations'!P150</f>
        <v>0.77</v>
      </c>
      <c r="BC223" s="2">
        <f>(BB223*BB224)</f>
        <v>385</v>
      </c>
    </row>
    <row r="224" spans="53:54" ht="12.75">
      <c r="BA224" t="s">
        <v>4</v>
      </c>
      <c r="BB224" s="6">
        <f>'Stocker Calculations'!P151</f>
        <v>500</v>
      </c>
    </row>
    <row r="225" spans="53:55" ht="12.75">
      <c r="BA225" t="s">
        <v>129</v>
      </c>
      <c r="BB225" s="2">
        <f>'Stocker Calculations'!P152</f>
        <v>3</v>
      </c>
      <c r="BC225" s="2">
        <f>BB225</f>
        <v>3</v>
      </c>
    </row>
    <row r="226" spans="53:55" ht="12.75">
      <c r="BA226" t="s">
        <v>17</v>
      </c>
      <c r="BB226" s="2">
        <f>'Stocker Calculations'!P153</f>
        <v>11</v>
      </c>
      <c r="BC226" s="11">
        <f>(BB226*1)</f>
        <v>11</v>
      </c>
    </row>
    <row r="227" spans="53:54" ht="12.75">
      <c r="BA227" t="s">
        <v>9</v>
      </c>
      <c r="BB227" s="4">
        <f>'Stocker Calculations'!P154</f>
        <v>0.1</v>
      </c>
    </row>
    <row r="228" spans="53:55" ht="12.75">
      <c r="BA228" t="s">
        <v>11</v>
      </c>
      <c r="BB228" s="9">
        <f>((((BB227/365)*BB248*0.5)*(BC226+BC230+BC245+BC249+BC250+BC252+BC253+BC255+BC256+BC266))+(((BB227/365)*BB248)*(BC223+BC225+BC251)))</f>
        <v>17.827397260273976</v>
      </c>
      <c r="BC228" s="11">
        <f>BB228*1</f>
        <v>17.827397260273976</v>
      </c>
    </row>
    <row r="229" spans="53:55" ht="12.75">
      <c r="BA229" t="s">
        <v>35</v>
      </c>
      <c r="BB229" s="22">
        <f>'Stocker Calculations'!P158</f>
        <v>0</v>
      </c>
      <c r="BC229" s="2"/>
    </row>
    <row r="230" spans="53:55" ht="12.75">
      <c r="BA230" t="s">
        <v>0</v>
      </c>
      <c r="BB230" s="26">
        <f>'Stocker Calculations'!P156</f>
        <v>0</v>
      </c>
      <c r="BC230" s="2">
        <f>(BB230*BB231*BB229)</f>
        <v>0</v>
      </c>
    </row>
    <row r="231" spans="53:54" ht="12.75">
      <c r="BA231" t="s">
        <v>55</v>
      </c>
      <c r="BB231" s="13">
        <f>'Stocker Calculations'!P157</f>
        <v>0</v>
      </c>
    </row>
    <row r="232" spans="53:54" ht="38.25">
      <c r="BA232" s="5" t="s">
        <v>53</v>
      </c>
      <c r="BB232" s="8" t="e">
        <f>((BB246-BB224)*(1-(BB258*0.5)))/BB229</f>
        <v>#DIV/0!</v>
      </c>
    </row>
    <row r="233" spans="53:54" ht="38.25">
      <c r="BA233" s="5" t="s">
        <v>54</v>
      </c>
      <c r="BB233" s="8" t="e">
        <f>((BB246-BB224)/BB229)</f>
        <v>#DIV/0!</v>
      </c>
    </row>
    <row r="234" spans="53:54" ht="25.5">
      <c r="BA234" s="5" t="s">
        <v>43</v>
      </c>
      <c r="BB234" s="7">
        <f>(BB231*BB229)</f>
        <v>0</v>
      </c>
    </row>
    <row r="235" spans="53:54" ht="25.5">
      <c r="BA235" s="5" t="s">
        <v>44</v>
      </c>
      <c r="BB235" s="8">
        <f>(BB231*BB229)*(1-(BB259*0.5))</f>
        <v>0</v>
      </c>
    </row>
    <row r="236" spans="53:54" ht="25.5">
      <c r="BA236" s="5" t="s">
        <v>119</v>
      </c>
      <c r="BB236" s="8">
        <f>((BB263-BB246)*(1-(BB259*0.5)))/BB247</f>
        <v>2.7868487499999994</v>
      </c>
    </row>
    <row r="237" spans="53:54" ht="25.5">
      <c r="BA237" s="5" t="s">
        <v>120</v>
      </c>
      <c r="BB237" s="8">
        <f>(BB263-BB246)/BB247</f>
        <v>2.7938333333333327</v>
      </c>
    </row>
    <row r="238" spans="53:54" ht="25.5">
      <c r="BA238" s="5" t="s">
        <v>56</v>
      </c>
      <c r="BB238" s="8">
        <f>(BB244*BB247)</f>
        <v>750</v>
      </c>
    </row>
    <row r="239" spans="53:54" ht="25.5">
      <c r="BA239" s="5" t="s">
        <v>57</v>
      </c>
      <c r="BB239" s="8">
        <f>(BB244*BB247)*(1-(BB259*0.5))</f>
        <v>748.125</v>
      </c>
    </row>
    <row r="240" spans="53:54" ht="25.5">
      <c r="BA240" s="5" t="s">
        <v>76</v>
      </c>
      <c r="BB240" s="8">
        <f>(BB263-BB224)/BB248</f>
        <v>2.7938333333333327</v>
      </c>
    </row>
    <row r="241" spans="53:54" ht="25.5">
      <c r="BA241" s="5" t="s">
        <v>77</v>
      </c>
      <c r="BB241" s="8">
        <f>((BB263-BB224)*(1-(BB260*0.5)))/BB248</f>
        <v>2.7868487499999994</v>
      </c>
    </row>
    <row r="242" spans="53:54" ht="12.75">
      <c r="BA242" s="5" t="s">
        <v>73</v>
      </c>
      <c r="BB242" s="8" t="e">
        <f>BB234/(BB246-BB224)</f>
        <v>#DIV/0!</v>
      </c>
    </row>
    <row r="243" spans="53:54" ht="12.75">
      <c r="BA243" s="5" t="s">
        <v>74</v>
      </c>
      <c r="BB243" s="8" t="e">
        <f>BB235/(BB246-BB224)</f>
        <v>#DIV/0!</v>
      </c>
    </row>
    <row r="244" spans="53:54" ht="12.75">
      <c r="BA244" s="5" t="s">
        <v>58</v>
      </c>
      <c r="BB244" s="17">
        <f>'Stocker Calculations'!P169</f>
        <v>5</v>
      </c>
    </row>
    <row r="245" spans="53:55" ht="12.75">
      <c r="BA245" s="5" t="s">
        <v>59</v>
      </c>
      <c r="BB245" s="27">
        <f>'Stocker Calculations'!P168</f>
        <v>0.04</v>
      </c>
      <c r="BC245" s="2">
        <f>(BB239*BB245)</f>
        <v>29.925</v>
      </c>
    </row>
    <row r="246" spans="53:54" ht="12.75">
      <c r="BA246" s="5" t="s">
        <v>34</v>
      </c>
      <c r="BB246" s="15">
        <f>'Stocker Calculations'!P166</f>
        <v>500</v>
      </c>
    </row>
    <row r="247" spans="53:54" ht="12.75">
      <c r="BA247" s="5" t="s">
        <v>36</v>
      </c>
      <c r="BB247" s="19">
        <f>'Stocker Calculations'!P170</f>
        <v>150</v>
      </c>
    </row>
    <row r="248" spans="53:54" ht="12.75">
      <c r="BA248" t="s">
        <v>42</v>
      </c>
      <c r="BB248" s="14">
        <f>'Stocker Calculations'!P158+'Stocker Calculations'!P170</f>
        <v>150</v>
      </c>
    </row>
    <row r="249" spans="53:55" ht="12.75">
      <c r="BA249" t="s">
        <v>46</v>
      </c>
      <c r="BB249" s="11">
        <f>'Stocker Calculations'!P159</f>
        <v>0</v>
      </c>
      <c r="BC249" s="2">
        <f>(BB229*BB249)</f>
        <v>0</v>
      </c>
    </row>
    <row r="250" spans="53:55" ht="12.75">
      <c r="BA250" t="s">
        <v>45</v>
      </c>
      <c r="BB250" s="11">
        <f>'Stocker Calculations'!P171</f>
        <v>0.2</v>
      </c>
      <c r="BC250" s="2">
        <f>(BB247*BB250)</f>
        <v>30</v>
      </c>
    </row>
    <row r="251" spans="53:55" ht="12.75">
      <c r="BA251" t="s">
        <v>1</v>
      </c>
      <c r="BB251" s="11">
        <f>'Stocker Calculations'!P160</f>
        <v>9</v>
      </c>
      <c r="BC251" s="11">
        <f>(BB251*1)</f>
        <v>9</v>
      </c>
    </row>
    <row r="252" spans="53:55" ht="12.75">
      <c r="BA252" t="s">
        <v>47</v>
      </c>
      <c r="BB252" s="16">
        <f>'Stocker Calculations'!P161</f>
        <v>0</v>
      </c>
      <c r="BC252" s="11">
        <f>(BB252*BB254)</f>
        <v>0</v>
      </c>
    </row>
    <row r="253" spans="53:55" ht="12.75">
      <c r="BA253" t="s">
        <v>48</v>
      </c>
      <c r="BB253" s="16">
        <f>'Stocker Calculations'!P172</f>
        <v>0.1</v>
      </c>
      <c r="BC253" s="2">
        <f>(BB253*BB254)</f>
        <v>1.5</v>
      </c>
    </row>
    <row r="254" spans="53:55" ht="12.75">
      <c r="BA254" t="s">
        <v>15</v>
      </c>
      <c r="BB254" s="2">
        <f>'Stocker Calculations'!P162</f>
        <v>15</v>
      </c>
      <c r="BC254" s="2"/>
    </row>
    <row r="255" spans="53:55" ht="12.75">
      <c r="BA255" t="s">
        <v>51</v>
      </c>
      <c r="BB255" s="4">
        <f>'Stocker Calculations'!P163</f>
        <v>0</v>
      </c>
      <c r="BC255" s="2">
        <f>(BB252*BB255*BB257)</f>
        <v>0</v>
      </c>
    </row>
    <row r="256" spans="53:55" ht="12.75">
      <c r="BA256" t="s">
        <v>52</v>
      </c>
      <c r="BB256" s="4">
        <f>'Stocker Calculations'!P173</f>
        <v>0.1</v>
      </c>
      <c r="BC256" s="2">
        <f>(BB253*BB256*BB257)</f>
        <v>0.18000000000000005</v>
      </c>
    </row>
    <row r="257" spans="53:55" ht="12.75">
      <c r="BA257" t="s">
        <v>16</v>
      </c>
      <c r="BB257" s="2">
        <f>'Stocker Calculations'!P164</f>
        <v>18</v>
      </c>
      <c r="BC257" s="2"/>
    </row>
    <row r="258" spans="53:55" ht="12.75">
      <c r="BA258" t="s">
        <v>49</v>
      </c>
      <c r="BB258" s="4">
        <f>'Stocker Calculations'!P165</f>
        <v>0</v>
      </c>
      <c r="BC258" s="2"/>
    </row>
    <row r="259" spans="53:54" ht="12.75">
      <c r="BA259" t="s">
        <v>50</v>
      </c>
      <c r="BB259" s="4">
        <f>'Stocker Calculations'!P174</f>
        <v>0.005</v>
      </c>
    </row>
    <row r="260" spans="53:54" ht="12.75">
      <c r="BA260" t="s">
        <v>60</v>
      </c>
      <c r="BB260" s="4">
        <f>(BB258+BB259)</f>
        <v>0.005</v>
      </c>
    </row>
    <row r="261" spans="53:54" ht="12.75">
      <c r="BA261" t="s">
        <v>6</v>
      </c>
      <c r="BB261" s="13">
        <f>'Stocker Calculations'!P175</f>
        <v>947.5</v>
      </c>
    </row>
    <row r="262" spans="53:54" ht="12.75">
      <c r="BA262" t="s">
        <v>7</v>
      </c>
      <c r="BB262" s="4">
        <f>'Stocker Calculations'!P176</f>
        <v>0.03</v>
      </c>
    </row>
    <row r="263" spans="53:56" ht="12.75">
      <c r="BA263" t="s">
        <v>10</v>
      </c>
      <c r="BB263" s="31">
        <f>BB261*(1-BB262)</f>
        <v>919.0749999999999</v>
      </c>
      <c r="BC263" s="32"/>
      <c r="BD263" s="2"/>
    </row>
    <row r="264" spans="53:56" ht="12.75">
      <c r="BA264" t="s">
        <v>133</v>
      </c>
      <c r="BB264" s="31">
        <f>BB261*(1-BB262)*(1-BB260)</f>
        <v>914.4796249999999</v>
      </c>
      <c r="BC264" s="32"/>
      <c r="BD264" s="2"/>
    </row>
    <row r="265" spans="53:56" ht="12.75">
      <c r="BA265" t="s">
        <v>123</v>
      </c>
      <c r="BB265" s="2">
        <f>'Stocker Calculations'!P178</f>
        <v>5</v>
      </c>
      <c r="BC265" s="2">
        <f>BB265*(1-BB260)</f>
        <v>4.975</v>
      </c>
      <c r="BD265" s="2"/>
    </row>
    <row r="266" spans="53:55" ht="12.75">
      <c r="BA266" t="s">
        <v>14</v>
      </c>
      <c r="BB266" s="2">
        <f>'Stocker Calculations'!P177</f>
        <v>1</v>
      </c>
      <c r="BC266" s="2">
        <f>(BB266*1)*(1-BB260)</f>
        <v>0.995</v>
      </c>
    </row>
    <row r="267" spans="53:55" ht="12.75">
      <c r="BA267" t="s">
        <v>2</v>
      </c>
      <c r="BB267" s="2">
        <f>'Stocker Calculations'!P179</f>
        <v>36.0946</v>
      </c>
      <c r="BC267" s="2">
        <f>(BB267*1)</f>
        <v>36.0946</v>
      </c>
    </row>
    <row r="268" spans="53:55" ht="25.5">
      <c r="BA268" s="20" t="s">
        <v>61</v>
      </c>
      <c r="BB268" s="30" t="e">
        <f>((((BB229/BB248)*(BC226+BC228))+(BC225+BC230+BC249+BC251+BC252+BC255))/(BB246-BB224))</f>
        <v>#DIV/0!</v>
      </c>
      <c r="BC268" s="2"/>
    </row>
    <row r="269" spans="53:55" ht="12.75">
      <c r="BA269" s="23" t="s">
        <v>69</v>
      </c>
      <c r="BB269" s="30" t="e">
        <f>((((BB229/BB248)*(BC226+BC228))+(BC225+BC230+BC249+BC251+BC252+BC255))/((BB246-BB224)*(1-BB258)))</f>
        <v>#DIV/0!</v>
      </c>
      <c r="BC269" s="2"/>
    </row>
    <row r="270" spans="53:55" ht="25.5">
      <c r="BA270" s="5" t="s">
        <v>62</v>
      </c>
      <c r="BB270" s="30">
        <f>((((BB247/BB248)*(BC226+BC228))+(BC245+BC250+BC253+BC256+BC265+BC266))/(BB263-BB246))</f>
        <v>0.23003614450939328</v>
      </c>
      <c r="BC270" s="2"/>
    </row>
    <row r="271" spans="53:55" ht="12.75">
      <c r="BA271" s="23" t="s">
        <v>70</v>
      </c>
      <c r="BB271" s="30">
        <f>((((BB247/BB248)*(BC226+BC228))+(BC245+BC250+BC253+BC256+BC265+BC266))/((BB263-BB246)*(1-BB259)))</f>
        <v>0.2311921050345661</v>
      </c>
      <c r="BC271" s="2"/>
    </row>
    <row r="272" spans="53:55" ht="25.5">
      <c r="BA272" s="5" t="s">
        <v>63</v>
      </c>
      <c r="BB272" s="30">
        <f>(SUM(BC225:BC266)/(BB263-BB224))</f>
        <v>0.25867063714197697</v>
      </c>
      <c r="BC272" s="2"/>
    </row>
    <row r="273" spans="53:55" ht="12.75">
      <c r="BA273" s="23" t="s">
        <v>71</v>
      </c>
      <c r="BB273" s="30">
        <f>(SUM(BC225:BC266)/((BB263-BB224)*(1-BB260)))</f>
        <v>0.25997048958992663</v>
      </c>
      <c r="BC273" s="2"/>
    </row>
    <row r="274" spans="53:55" ht="12.75">
      <c r="BA274" s="5" t="s">
        <v>72</v>
      </c>
      <c r="BB274" s="29">
        <f>(SUM(BC223:BC267))/BB264</f>
        <v>0.5790145376506055</v>
      </c>
      <c r="BC274" s="2"/>
    </row>
    <row r="276" ht="12.75">
      <c r="BA276" t="s">
        <v>128</v>
      </c>
    </row>
    <row r="277" ht="12.75">
      <c r="BA277" t="s">
        <v>3</v>
      </c>
    </row>
    <row r="279" spans="53:56" ht="12.75">
      <c r="BA279" s="78" t="s">
        <v>64</v>
      </c>
      <c r="BB279" s="78"/>
      <c r="BC279" s="78"/>
      <c r="BD279" s="78"/>
    </row>
    <row r="280" spans="53:56" ht="12.75">
      <c r="BA280" s="78"/>
      <c r="BB280" s="78"/>
      <c r="BC280" s="78"/>
      <c r="BD280" s="78"/>
    </row>
    <row r="281" spans="53:56" ht="12.75">
      <c r="BA281" s="78"/>
      <c r="BB281" s="78"/>
      <c r="BC281" s="78"/>
      <c r="BD281" s="78"/>
    </row>
    <row r="283" spans="53:56" ht="12.75">
      <c r="BA283" s="79" t="s">
        <v>65</v>
      </c>
      <c r="BB283" s="80"/>
      <c r="BC283" s="80"/>
      <c r="BD283" s="3"/>
    </row>
  </sheetData>
  <sheetProtection password="CC65" sheet="1" objects="1" scenarios="1"/>
  <mergeCells count="23">
    <mergeCell ref="O76:Q76"/>
    <mergeCell ref="O147:R147"/>
    <mergeCell ref="O148:R148"/>
    <mergeCell ref="O149:Q149"/>
    <mergeCell ref="O70:R70"/>
    <mergeCell ref="O9:Q9"/>
    <mergeCell ref="O75:R75"/>
    <mergeCell ref="O74:R74"/>
    <mergeCell ref="A5:I5"/>
    <mergeCell ref="O8:R8"/>
    <mergeCell ref="O68:R68"/>
    <mergeCell ref="A1:I2"/>
    <mergeCell ref="A6:I7"/>
    <mergeCell ref="O7:R7"/>
    <mergeCell ref="A3:I3"/>
    <mergeCell ref="A4:I4"/>
    <mergeCell ref="O67:R67"/>
    <mergeCell ref="BA279:BD281"/>
    <mergeCell ref="BA283:BC283"/>
    <mergeCell ref="BA125:BD127"/>
    <mergeCell ref="BA129:BC129"/>
    <mergeCell ref="BA204:BD206"/>
    <mergeCell ref="BA208:BC208"/>
  </mergeCells>
  <dataValidations count="7">
    <dataValidation allowBlank="1" showInputMessage="1" showErrorMessage="1" prompt="Re-pull rate = number of pulls of calves that have been treated previously and returned to their home pen / number of initial pulls" sqref="P23 P163 P89"/>
    <dataValidation allowBlank="1" showInputMessage="1" showErrorMessage="1" prompt="Interest rate of borrowed money or if no borrowed money is used, interest rate of alternate investment" sqref="P80 P14 P154"/>
    <dataValidation allowBlank="1" showInputMessage="1" showErrorMessage="1" prompt="Divide total cost of pasture (yearly, monthly rent etc.) by animal-days on the pasture" sqref="P31 P97 P171"/>
    <dataValidation allowBlank="1" showInputMessage="1" showErrorMessage="1" prompt="If more than one diet is used - prorate the cost by percentage of the confinement period that each diet is fed" sqref="P16 P82 P156"/>
    <dataValidation allowBlank="1" showInputMessage="1" showErrorMessage="1" prompt="Divide total expected intake by days in confinement" sqref="P17 P83 P157"/>
    <dataValidation allowBlank="1" showInputMessage="1" showErrorMessage="1" prompt="number dead during confinement period divided by number purchased" sqref="P25 P91 P165"/>
    <dataValidation allowBlank="1" showInputMessage="1" showErrorMessage="1" prompt="number dead during grazing period divided by number purchased" sqref="P34 P100 P174"/>
  </dataValidations>
  <printOptions/>
  <pageMargins left="0.75" right="0.75" top="1" bottom="1" header="0.5" footer="0.5"/>
  <pageSetup horizontalDpi="300" verticalDpi="3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L. Larson</dc:creator>
  <cp:keywords/>
  <dc:description/>
  <cp:lastModifiedBy>rlarson</cp:lastModifiedBy>
  <cp:lastPrinted>2001-02-25T21:55:44Z</cp:lastPrinted>
  <dcterms:created xsi:type="dcterms:W3CDTF">1999-02-22T23:08:55Z</dcterms:created>
  <dcterms:modified xsi:type="dcterms:W3CDTF">2006-07-25T14:00:01Z</dcterms:modified>
  <cp:category/>
  <cp:version/>
  <cp:contentType/>
  <cp:contentStatus/>
</cp:coreProperties>
</file>