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000" windowHeight="8040" activeTab="0"/>
  </bookViews>
  <sheets>
    <sheet name="Trace Mineral Calculations" sheetId="1" r:id="rId1"/>
  </sheets>
  <definedNames>
    <definedName name="_xlnm.Print_Area" localSheetId="0">'Trace Mineral Calculations'!$BA$100:$BI$132</definedName>
  </definedNames>
  <calcPr fullCalcOnLoad="1"/>
</workbook>
</file>

<file path=xl/sharedStrings.xml><?xml version="1.0" encoding="utf-8"?>
<sst xmlns="http://schemas.openxmlformats.org/spreadsheetml/2006/main" count="70" uniqueCount="39">
  <si>
    <t>Desired ppm in diet</t>
  </si>
  <si>
    <t>Mineral</t>
  </si>
  <si>
    <t>Cobalt</t>
  </si>
  <si>
    <t>Copper</t>
  </si>
  <si>
    <t>Iodine</t>
  </si>
  <si>
    <t>Manganese</t>
  </si>
  <si>
    <t>Selenium</t>
  </si>
  <si>
    <t>Zinc</t>
  </si>
  <si>
    <t>Animal Wt. (lbs)</t>
  </si>
  <si>
    <t>kg intake</t>
  </si>
  <si>
    <t>kg BW</t>
  </si>
  <si>
    <t>Daily intake from mineral mix (mg)</t>
  </si>
  <si>
    <r>
      <t>Diet Intake</t>
    </r>
    <r>
      <rPr>
        <sz val="9"/>
        <rFont val="Arial"/>
        <family val="2"/>
      </rPr>
      <t xml:space="preserve"> (% BW, DM basis)</t>
    </r>
  </si>
  <si>
    <r>
      <t xml:space="preserve">Mineral intake </t>
    </r>
    <r>
      <rPr>
        <sz val="9"/>
        <rFont val="Arial"/>
        <family val="2"/>
      </rPr>
      <t>(oz. Per day)</t>
    </r>
  </si>
  <si>
    <t>mg mineral intake</t>
  </si>
  <si>
    <t>Mineral source</t>
  </si>
  <si>
    <t>mg source</t>
  </si>
  <si>
    <t>% of mineral mix</t>
  </si>
  <si>
    <t>Salt</t>
  </si>
  <si>
    <t>% of daily requirement supplied in Mineral Mix</t>
  </si>
  <si>
    <r>
      <t xml:space="preserve">mg need of source </t>
    </r>
    <r>
      <rPr>
        <sz val="8"/>
        <rFont val="Arial"/>
        <family val="2"/>
      </rPr>
      <t>(influenced by % in source)</t>
    </r>
  </si>
  <si>
    <t>Lbs. in a ton of mineral mix</t>
  </si>
  <si>
    <t>Trace Mineral + Salt Calculation</t>
  </si>
  <si>
    <t>Commercial Ag Beef Focus Team</t>
  </si>
  <si>
    <t>MU Outreach and Extension</t>
  </si>
  <si>
    <t>Bob L. Larson, DVM, PhD, ACT</t>
  </si>
  <si>
    <t>Please fill in the yellow boxes</t>
  </si>
  <si>
    <t>(mixture depends on calcium and phosphorus needs)</t>
  </si>
  <si>
    <r>
      <t xml:space="preserve">NRC </t>
    </r>
    <r>
      <rPr>
        <sz val="9"/>
        <rFont val="Arial"/>
        <family val="2"/>
      </rPr>
      <t>recommendation</t>
    </r>
  </si>
  <si>
    <t>Ca (% of diet)</t>
  </si>
  <si>
    <t>P (% of diet)</t>
  </si>
  <si>
    <t>Mixing 2 oz. of the above trace mineral mixture with 2 oz. of limesone results in a daily intake of 21,590.9 mg. Ca</t>
  </si>
  <si>
    <t>Mixing 2 oz. of the above trace mineral mixture with 2 oz. of dical results in a daily intake of 11,363.6 mg. Ca and 10,511.4 mg. P</t>
  </si>
  <si>
    <t>Mixing 2 oz. of the above trace mineral mixture with 2 oz. of monocal results in a daily intake of 9,090.9 mg. Ca and 11,931.8 mg. P</t>
  </si>
  <si>
    <t>Mixing 1.2 oz. of the above trace mineral mixture with 1.2 oz. of dical and 1.2 oz. of magneseum oxide results in a daily intake of 6,818.2 mg. Ca,  6,306.8 mg. P, and 18,750 mg. Mg</t>
  </si>
  <si>
    <t>The resulting tracemineral + salt product should be mixed with equal parts of salt or dical or limestone (or magnesium) at a final rate of 4 oz of the mixture per day</t>
  </si>
  <si>
    <t>Bob L. Larson, DVM, PhD</t>
  </si>
  <si>
    <t>Kansas State University</t>
  </si>
  <si>
    <t>College of Veterinary Medicine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</si>
</sst>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%"/>
    <numFmt numFmtId="167" formatCode="0.0000"/>
    <numFmt numFmtId="168" formatCode="0.00000"/>
    <numFmt numFmtId="169" formatCode="0.00000%"/>
    <numFmt numFmtId="170" formatCode="0.0%"/>
  </numFmts>
  <fonts count="17">
    <font>
      <sz val="12"/>
      <name val="Arial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20"/>
      <color indexed="52"/>
      <name val="Arial"/>
      <family val="2"/>
    </font>
    <font>
      <sz val="16"/>
      <color indexed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i/>
      <sz val="14"/>
      <name val="Arial"/>
      <family val="2"/>
    </font>
    <font>
      <u val="single"/>
      <sz val="10.8"/>
      <color indexed="12"/>
      <name val="Arial"/>
      <family val="0"/>
    </font>
    <font>
      <u val="single"/>
      <sz val="10.8"/>
      <color indexed="36"/>
      <name val="Arial"/>
      <family val="0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20"/>
      <color indexed="20"/>
      <name val="Arial"/>
      <family val="2"/>
    </font>
    <font>
      <sz val="16"/>
      <color indexed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0" fillId="3" borderId="4" xfId="0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left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/>
    </xf>
    <xf numFmtId="164" fontId="0" fillId="2" borderId="6" xfId="0" applyNumberForma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11" xfId="0" applyFill="1" applyBorder="1" applyAlignment="1">
      <alignment/>
    </xf>
    <xf numFmtId="164" fontId="0" fillId="5" borderId="0" xfId="0" applyNumberFormat="1" applyFill="1" applyBorder="1" applyAlignment="1">
      <alignment horizontal="center"/>
    </xf>
    <xf numFmtId="164" fontId="0" fillId="5" borderId="0" xfId="0" applyNumberFormat="1" applyFill="1" applyBorder="1" applyAlignment="1" applyProtection="1">
      <alignment horizontal="center"/>
      <protection locked="0"/>
    </xf>
    <xf numFmtId="9" fontId="0" fillId="5" borderId="0" xfId="0" applyNumberFormat="1" applyFill="1" applyBorder="1" applyAlignment="1" applyProtection="1">
      <alignment horizontal="center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left"/>
    </xf>
    <xf numFmtId="2" fontId="0" fillId="0" borderId="7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9" fontId="0" fillId="0" borderId="16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64" fontId="0" fillId="5" borderId="6" xfId="0" applyNumberFormat="1" applyFill="1" applyBorder="1" applyAlignment="1" applyProtection="1">
      <alignment horizontal="center"/>
      <protection locked="0"/>
    </xf>
    <xf numFmtId="9" fontId="0" fillId="5" borderId="6" xfId="0" applyNumberForma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center"/>
      <protection locked="0"/>
    </xf>
    <xf numFmtId="0" fontId="0" fillId="5" borderId="5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 vertical="center"/>
    </xf>
    <xf numFmtId="10" fontId="0" fillId="5" borderId="3" xfId="0" applyNumberFormat="1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0" fillId="6" borderId="0" xfId="0" applyFill="1" applyAlignment="1">
      <alignment/>
    </xf>
    <xf numFmtId="0" fontId="5" fillId="6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7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 wrapText="1"/>
    </xf>
    <xf numFmtId="0" fontId="6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/>
    </xf>
    <xf numFmtId="10" fontId="0" fillId="6" borderId="0" xfId="0" applyNumberFormat="1" applyFill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9" fontId="0" fillId="3" borderId="4" xfId="0" applyNumberFormat="1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0" fillId="5" borderId="19" xfId="0" applyFill="1" applyBorder="1" applyAlignment="1">
      <alignment/>
    </xf>
    <xf numFmtId="165" fontId="0" fillId="5" borderId="0" xfId="0" applyNumberFormat="1" applyFill="1" applyBorder="1" applyAlignment="1">
      <alignment horizontal="center"/>
    </xf>
    <xf numFmtId="169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9" fontId="0" fillId="5" borderId="20" xfId="0" applyNumberFormat="1" applyFill="1" applyBorder="1" applyAlignment="1">
      <alignment horizontal="center"/>
    </xf>
    <xf numFmtId="10" fontId="0" fillId="5" borderId="20" xfId="0" applyNumberFormat="1" applyFill="1" applyBorder="1" applyAlignment="1">
      <alignment horizontal="center"/>
    </xf>
    <xf numFmtId="0" fontId="0" fillId="5" borderId="21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2" fillId="5" borderId="2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0" fillId="4" borderId="11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6" fillId="5" borderId="0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right" wrapText="1"/>
    </xf>
    <xf numFmtId="0" fontId="6" fillId="5" borderId="17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 wrapText="1"/>
    </xf>
    <xf numFmtId="0" fontId="13" fillId="5" borderId="12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0" fillId="4" borderId="17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5" borderId="17" xfId="0" applyFill="1" applyBorder="1" applyAlignment="1">
      <alignment horizontal="right" wrapText="1"/>
    </xf>
    <xf numFmtId="0" fontId="1" fillId="2" borderId="2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5" borderId="19" xfId="0" applyFont="1" applyFill="1" applyBorder="1" applyAlignment="1">
      <alignment horizontal="left" wrapText="1"/>
    </xf>
    <xf numFmtId="0" fontId="2" fillId="5" borderId="6" xfId="0" applyFont="1" applyFill="1" applyBorder="1" applyAlignment="1">
      <alignment horizontal="left" wrapText="1"/>
    </xf>
    <xf numFmtId="0" fontId="0" fillId="5" borderId="17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10" fillId="5" borderId="18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left" wrapText="1"/>
    </xf>
    <xf numFmtId="0" fontId="2" fillId="5" borderId="18" xfId="0" applyFont="1" applyFill="1" applyBorder="1" applyAlignment="1">
      <alignment horizontal="left" wrapText="1"/>
    </xf>
    <xf numFmtId="0" fontId="15" fillId="5" borderId="25" xfId="0" applyFont="1" applyFill="1" applyBorder="1" applyAlignment="1">
      <alignment horizontal="center"/>
    </xf>
    <xf numFmtId="0" fontId="15" fillId="5" borderId="26" xfId="0" applyFont="1" applyFill="1" applyBorder="1" applyAlignment="1">
      <alignment horizontal="center"/>
    </xf>
    <xf numFmtId="0" fontId="15" fillId="5" borderId="27" xfId="0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5" borderId="1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132"/>
  <sheetViews>
    <sheetView tabSelected="1" zoomScale="90" zoomScaleNormal="90" workbookViewId="0" topLeftCell="A1">
      <selection activeCell="T3" sqref="T3"/>
    </sheetView>
  </sheetViews>
  <sheetFormatPr defaultColWidth="8.88671875" defaultRowHeight="15"/>
  <cols>
    <col min="2" max="2" width="9.88671875" style="0" customWidth="1"/>
    <col min="3" max="3" width="12.5546875" style="0" customWidth="1"/>
    <col min="4" max="4" width="9.4453125" style="2" bestFit="1" customWidth="1"/>
    <col min="5" max="5" width="9.88671875" style="2" customWidth="1"/>
    <col min="6" max="6" width="8.88671875" style="2" customWidth="1"/>
    <col min="7" max="7" width="9.99609375" style="2" customWidth="1"/>
    <col min="8" max="8" width="10.5546875" style="2" customWidth="1"/>
    <col min="9" max="9" width="0.3359375" style="2" customWidth="1"/>
    <col min="10" max="10" width="0.44140625" style="0" customWidth="1"/>
    <col min="11" max="11" width="0.55078125" style="0" customWidth="1"/>
    <col min="12" max="12" width="0.78125" style="0" customWidth="1"/>
    <col min="13" max="13" width="0.671875" style="0" customWidth="1"/>
    <col min="53" max="53" width="2.10546875" style="0" customWidth="1"/>
    <col min="54" max="54" width="10.3359375" style="0" customWidth="1"/>
    <col min="55" max="55" width="10.6640625" style="0" customWidth="1"/>
    <col min="57" max="57" width="11.88671875" style="0" customWidth="1"/>
    <col min="58" max="58" width="9.99609375" style="0" bestFit="1" customWidth="1"/>
    <col min="59" max="59" width="10.10546875" style="0" customWidth="1"/>
    <col min="61" max="61" width="1.88671875" style="0" customWidth="1"/>
  </cols>
  <sheetData>
    <row r="1" spans="1:22" ht="25.5">
      <c r="A1" s="56"/>
      <c r="B1" s="111" t="s">
        <v>22</v>
      </c>
      <c r="C1" s="112"/>
      <c r="D1" s="112"/>
      <c r="E1" s="112"/>
      <c r="F1" s="112"/>
      <c r="G1" s="112"/>
      <c r="H1" s="113"/>
      <c r="I1" s="55"/>
      <c r="J1" s="55"/>
      <c r="K1" s="55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20.25">
      <c r="A2" s="56"/>
      <c r="B2" s="114" t="s">
        <v>38</v>
      </c>
      <c r="C2" s="115"/>
      <c r="D2" s="115"/>
      <c r="E2" s="115"/>
      <c r="F2" s="115"/>
      <c r="G2" s="115"/>
      <c r="H2" s="116"/>
      <c r="I2" s="57"/>
      <c r="J2" s="57"/>
      <c r="K2" s="57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20.25">
      <c r="A3" s="56"/>
      <c r="B3" s="114" t="s">
        <v>37</v>
      </c>
      <c r="C3" s="115"/>
      <c r="D3" s="115"/>
      <c r="E3" s="115"/>
      <c r="F3" s="115"/>
      <c r="G3" s="115"/>
      <c r="H3" s="116"/>
      <c r="I3" s="57"/>
      <c r="J3" s="57"/>
      <c r="K3" s="57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15">
      <c r="A4" s="56"/>
      <c r="B4" s="100" t="s">
        <v>36</v>
      </c>
      <c r="C4" s="101"/>
      <c r="D4" s="101"/>
      <c r="E4" s="101"/>
      <c r="F4" s="101"/>
      <c r="G4" s="101"/>
      <c r="H4" s="102"/>
      <c r="I4" s="58"/>
      <c r="J4" s="58"/>
      <c r="K4" s="58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ht="15">
      <c r="A5" s="56"/>
      <c r="B5" s="68"/>
      <c r="C5" s="25"/>
      <c r="D5" s="24"/>
      <c r="E5" s="24"/>
      <c r="F5" s="24"/>
      <c r="G5" s="24"/>
      <c r="H5" s="69"/>
      <c r="I5" s="59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ht="15.75">
      <c r="A6" s="56"/>
      <c r="B6" s="103" t="s">
        <v>26</v>
      </c>
      <c r="C6" s="104"/>
      <c r="D6" s="104"/>
      <c r="E6" s="104"/>
      <c r="F6" s="104"/>
      <c r="G6" s="104"/>
      <c r="H6" s="105"/>
      <c r="I6" s="60"/>
      <c r="J6" s="60"/>
      <c r="K6" s="60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2" ht="56.25" customHeight="1">
      <c r="A7" s="56"/>
      <c r="B7" s="106" t="s">
        <v>35</v>
      </c>
      <c r="C7" s="107"/>
      <c r="D7" s="107"/>
      <c r="E7" s="107"/>
      <c r="F7" s="107"/>
      <c r="G7" s="107"/>
      <c r="H7" s="108"/>
      <c r="I7" s="61"/>
      <c r="J7" s="61"/>
      <c r="K7" s="61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22" ht="18" customHeight="1">
      <c r="A8" s="56"/>
      <c r="B8" s="89" t="s">
        <v>27</v>
      </c>
      <c r="C8" s="87"/>
      <c r="D8" s="87"/>
      <c r="E8" s="87"/>
      <c r="F8" s="87"/>
      <c r="G8" s="87"/>
      <c r="H8" s="90"/>
      <c r="I8" s="62"/>
      <c r="J8" s="62"/>
      <c r="K8" s="62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</row>
    <row r="9" spans="1:22" ht="15">
      <c r="A9" s="56"/>
      <c r="B9" s="70"/>
      <c r="C9" s="24"/>
      <c r="D9" s="24"/>
      <c r="E9" s="24"/>
      <c r="F9" s="24"/>
      <c r="G9" s="24"/>
      <c r="H9" s="69"/>
      <c r="I9" s="59"/>
      <c r="J9" s="59"/>
      <c r="K9" s="59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1:22" ht="15">
      <c r="A10" s="56"/>
      <c r="B10" s="95" t="s">
        <v>8</v>
      </c>
      <c r="C10" s="88"/>
      <c r="D10" s="88"/>
      <c r="E10" s="7">
        <v>1200</v>
      </c>
      <c r="F10" s="4">
        <f>E10/2.2</f>
        <v>545.4545454545454</v>
      </c>
      <c r="G10" s="5" t="s">
        <v>10</v>
      </c>
      <c r="H10" s="69"/>
      <c r="I10" s="59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pans="1:22" ht="15">
      <c r="A11" s="56"/>
      <c r="B11" s="95" t="s">
        <v>12</v>
      </c>
      <c r="C11" s="88"/>
      <c r="D11" s="88"/>
      <c r="E11" s="7">
        <v>2.23</v>
      </c>
      <c r="F11" s="4">
        <f>F10*(E11/100)</f>
        <v>12.163636363636362</v>
      </c>
      <c r="G11" s="5" t="s">
        <v>9</v>
      </c>
      <c r="H11" s="69"/>
      <c r="I11" s="59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</row>
    <row r="12" spans="1:22" ht="15">
      <c r="A12" s="56"/>
      <c r="B12" s="95" t="s">
        <v>13</v>
      </c>
      <c r="C12" s="88"/>
      <c r="D12" s="88"/>
      <c r="E12" s="7">
        <v>2</v>
      </c>
      <c r="F12" s="4">
        <f>((E12/16)*454000)</f>
        <v>56750</v>
      </c>
      <c r="G12" s="6" t="s">
        <v>14</v>
      </c>
      <c r="H12" s="69"/>
      <c r="I12" s="59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spans="1:22" ht="18" customHeight="1">
      <c r="A13" s="56"/>
      <c r="B13" s="68"/>
      <c r="C13" s="25"/>
      <c r="D13" s="24"/>
      <c r="E13" s="24"/>
      <c r="F13" s="24"/>
      <c r="G13" s="24"/>
      <c r="H13" s="69"/>
      <c r="I13" s="59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22" ht="51">
      <c r="A14" s="56"/>
      <c r="B14" s="71" t="s">
        <v>1</v>
      </c>
      <c r="C14" s="8" t="s">
        <v>28</v>
      </c>
      <c r="D14" s="8" t="s">
        <v>0</v>
      </c>
      <c r="E14" s="8" t="s">
        <v>19</v>
      </c>
      <c r="F14" s="8" t="s">
        <v>11</v>
      </c>
      <c r="G14" s="8" t="s">
        <v>20</v>
      </c>
      <c r="H14" s="69"/>
      <c r="I14" s="59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</row>
    <row r="15" spans="1:22" ht="15">
      <c r="A15" s="56"/>
      <c r="B15" s="72" t="s">
        <v>2</v>
      </c>
      <c r="C15" s="51">
        <v>0.1</v>
      </c>
      <c r="D15" s="65">
        <v>0.1</v>
      </c>
      <c r="E15" s="66">
        <v>0.5</v>
      </c>
      <c r="F15" s="52">
        <f>(D15*E15)*F11</f>
        <v>0.6081818181818182</v>
      </c>
      <c r="G15" s="53">
        <f>F15/0.45</f>
        <v>1.3515151515151513</v>
      </c>
      <c r="H15" s="69"/>
      <c r="I15" s="59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</row>
    <row r="16" spans="1:22" ht="15">
      <c r="A16" s="56"/>
      <c r="B16" s="72" t="s">
        <v>3</v>
      </c>
      <c r="C16" s="51">
        <v>10</v>
      </c>
      <c r="D16" s="65">
        <v>10</v>
      </c>
      <c r="E16" s="66">
        <v>0.75</v>
      </c>
      <c r="F16" s="52">
        <f>(D16*E16)*F11</f>
        <v>91.22727272727272</v>
      </c>
      <c r="G16" s="53">
        <f>F16/0.25</f>
        <v>364.9090909090909</v>
      </c>
      <c r="H16" s="69"/>
      <c r="I16" s="59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2" ht="15">
      <c r="A17" s="56"/>
      <c r="B17" s="72" t="s">
        <v>4</v>
      </c>
      <c r="C17" s="51">
        <v>0.5</v>
      </c>
      <c r="D17" s="65">
        <v>0.5</v>
      </c>
      <c r="E17" s="66">
        <v>0.5</v>
      </c>
      <c r="F17" s="52">
        <f>(D17*E17)*F11</f>
        <v>3.0409090909090906</v>
      </c>
      <c r="G17" s="53">
        <f>F17/0.8</f>
        <v>3.801136363636363</v>
      </c>
      <c r="H17" s="69"/>
      <c r="I17" s="59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2" ht="15">
      <c r="A18" s="56"/>
      <c r="B18" s="72" t="s">
        <v>5</v>
      </c>
      <c r="C18" s="51">
        <v>40</v>
      </c>
      <c r="D18" s="65">
        <v>40</v>
      </c>
      <c r="E18" s="66">
        <v>1</v>
      </c>
      <c r="F18" s="52">
        <f>(D18*E18)*F11</f>
        <v>486.5454545454545</v>
      </c>
      <c r="G18" s="53">
        <f>F18/0.5</f>
        <v>973.090909090909</v>
      </c>
      <c r="H18" s="69"/>
      <c r="I18" s="59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spans="1:22" ht="15">
      <c r="A19" s="56"/>
      <c r="B19" s="72" t="s">
        <v>6</v>
      </c>
      <c r="C19" s="51">
        <v>0.2</v>
      </c>
      <c r="D19" s="65">
        <v>0.2</v>
      </c>
      <c r="E19" s="66">
        <v>0.5</v>
      </c>
      <c r="F19" s="52">
        <f>(D19*E19)*F11</f>
        <v>1.2163636363636363</v>
      </c>
      <c r="G19" s="53">
        <f>F19/0.4</f>
        <v>3.0409090909090906</v>
      </c>
      <c r="H19" s="69"/>
      <c r="I19" s="59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1:22" ht="15">
      <c r="A20" s="56"/>
      <c r="B20" s="72" t="s">
        <v>7</v>
      </c>
      <c r="C20" s="51">
        <v>30</v>
      </c>
      <c r="D20" s="65">
        <v>30</v>
      </c>
      <c r="E20" s="66">
        <v>0.75</v>
      </c>
      <c r="F20" s="52">
        <f>(D20*E20)*F11</f>
        <v>273.68181818181813</v>
      </c>
      <c r="G20" s="53">
        <f>F20/0.5</f>
        <v>547.3636363636363</v>
      </c>
      <c r="H20" s="69"/>
      <c r="I20" s="59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1:22" ht="15">
      <c r="A21" s="56"/>
      <c r="B21" s="68"/>
      <c r="C21" s="25"/>
      <c r="D21" s="24"/>
      <c r="E21" s="24"/>
      <c r="F21" s="24"/>
      <c r="G21" s="24"/>
      <c r="H21" s="69"/>
      <c r="I21" s="59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1:22" ht="15">
      <c r="A22" s="56"/>
      <c r="B22" s="68"/>
      <c r="C22" s="25"/>
      <c r="D22" s="24"/>
      <c r="E22" s="24"/>
      <c r="F22" s="24"/>
      <c r="G22" s="24"/>
      <c r="H22" s="69"/>
      <c r="I22" s="59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1:22" ht="15">
      <c r="A23" s="56"/>
      <c r="B23" s="68"/>
      <c r="C23" s="25"/>
      <c r="D23" s="24"/>
      <c r="E23" s="24"/>
      <c r="F23" s="24"/>
      <c r="G23" s="24"/>
      <c r="H23" s="69"/>
      <c r="I23" s="59"/>
      <c r="J23" s="56"/>
      <c r="K23" s="56"/>
      <c r="L23" s="67">
        <v>1</v>
      </c>
      <c r="M23" s="67">
        <f>F11*1000000</f>
        <v>12163636.363636361</v>
      </c>
      <c r="N23" s="56"/>
      <c r="O23" s="56"/>
      <c r="P23" s="56"/>
      <c r="Q23" s="56"/>
      <c r="R23" s="56"/>
      <c r="S23" s="56"/>
      <c r="T23" s="56"/>
      <c r="U23" s="56"/>
      <c r="V23" s="56"/>
    </row>
    <row r="24" spans="1:22" ht="15">
      <c r="A24" s="56"/>
      <c r="B24" s="68"/>
      <c r="C24" s="24"/>
      <c r="D24" s="24"/>
      <c r="E24" s="24"/>
      <c r="F24" s="24"/>
      <c r="G24" s="24"/>
      <c r="H24" s="69"/>
      <c r="I24" s="59"/>
      <c r="J24" s="56"/>
      <c r="K24" s="56"/>
      <c r="L24" s="67">
        <v>1</v>
      </c>
      <c r="M24" s="67"/>
      <c r="N24" s="56"/>
      <c r="O24" s="56"/>
      <c r="P24" s="56"/>
      <c r="Q24" s="56"/>
      <c r="R24" s="56"/>
      <c r="S24" s="56"/>
      <c r="T24" s="56"/>
      <c r="U24" s="56"/>
      <c r="V24" s="56"/>
    </row>
    <row r="25" spans="1:22" ht="15">
      <c r="A25" s="56"/>
      <c r="B25" s="68"/>
      <c r="C25" s="25"/>
      <c r="D25" s="24"/>
      <c r="E25" s="24"/>
      <c r="F25" s="24"/>
      <c r="G25" s="24"/>
      <c r="H25" s="69"/>
      <c r="I25" s="59"/>
      <c r="J25" s="56"/>
      <c r="K25" s="56"/>
      <c r="L25" s="67">
        <v>1</v>
      </c>
      <c r="M25" s="67"/>
      <c r="N25" s="56"/>
      <c r="O25" s="56"/>
      <c r="P25" s="56"/>
      <c r="Q25" s="56"/>
      <c r="R25" s="56"/>
      <c r="S25" s="56"/>
      <c r="T25" s="56"/>
      <c r="U25" s="56"/>
      <c r="V25" s="56"/>
    </row>
    <row r="26" spans="1:22" ht="15">
      <c r="A26" s="56"/>
      <c r="B26" s="68"/>
      <c r="C26" s="25"/>
      <c r="D26" s="24"/>
      <c r="E26" s="24"/>
      <c r="F26" s="24"/>
      <c r="G26" s="24"/>
      <c r="H26" s="69"/>
      <c r="I26" s="59"/>
      <c r="J26" s="56"/>
      <c r="K26" s="56"/>
      <c r="L26" s="67">
        <v>1</v>
      </c>
      <c r="M26" s="67"/>
      <c r="N26" s="56"/>
      <c r="O26" s="56"/>
      <c r="P26" s="56"/>
      <c r="Q26" s="56"/>
      <c r="R26" s="56"/>
      <c r="S26" s="56"/>
      <c r="T26" s="56"/>
      <c r="U26" s="56"/>
      <c r="V26" s="56"/>
    </row>
    <row r="27" spans="1:22" ht="15">
      <c r="A27" s="56"/>
      <c r="B27" s="68"/>
      <c r="C27" s="25"/>
      <c r="D27" s="24"/>
      <c r="E27" s="24"/>
      <c r="F27" s="24"/>
      <c r="G27" s="24"/>
      <c r="H27" s="69"/>
      <c r="I27" s="59"/>
      <c r="J27" s="56"/>
      <c r="K27" s="56"/>
      <c r="L27" s="67">
        <v>1</v>
      </c>
      <c r="M27" s="67"/>
      <c r="N27" s="56"/>
      <c r="O27" s="56"/>
      <c r="P27" s="56"/>
      <c r="Q27" s="56"/>
      <c r="R27" s="56"/>
      <c r="S27" s="56"/>
      <c r="T27" s="56"/>
      <c r="U27" s="56"/>
      <c r="V27" s="56"/>
    </row>
    <row r="28" spans="1:22" ht="15">
      <c r="A28" s="56"/>
      <c r="B28" s="68"/>
      <c r="C28" s="25"/>
      <c r="D28" s="24"/>
      <c r="E28" s="24"/>
      <c r="F28" s="24"/>
      <c r="G28" s="24"/>
      <c r="H28" s="69"/>
      <c r="I28" s="59"/>
      <c r="J28" s="56"/>
      <c r="K28" s="56"/>
      <c r="L28" s="67">
        <v>3</v>
      </c>
      <c r="M28" s="67"/>
      <c r="N28" s="56"/>
      <c r="O28" s="56"/>
      <c r="P28" s="56"/>
      <c r="Q28" s="56"/>
      <c r="R28" s="56"/>
      <c r="S28" s="56"/>
      <c r="T28" s="56"/>
      <c r="U28" s="56"/>
      <c r="V28" s="56"/>
    </row>
    <row r="29" spans="1:22" ht="15">
      <c r="A29" s="56"/>
      <c r="B29" s="68"/>
      <c r="C29" s="25"/>
      <c r="D29" s="24"/>
      <c r="E29" s="24"/>
      <c r="F29" s="24"/>
      <c r="G29" s="24"/>
      <c r="H29" s="69"/>
      <c r="I29" s="59"/>
      <c r="J29" s="56"/>
      <c r="K29" s="56"/>
      <c r="L29" s="59"/>
      <c r="M29" s="59"/>
      <c r="N29" s="56"/>
      <c r="O29" s="56"/>
      <c r="P29" s="56"/>
      <c r="Q29" s="56"/>
      <c r="R29" s="56"/>
      <c r="S29" s="56"/>
      <c r="T29" s="56"/>
      <c r="U29" s="56"/>
      <c r="V29" s="56"/>
    </row>
    <row r="30" spans="1:22" ht="15">
      <c r="A30" s="56"/>
      <c r="B30" s="68"/>
      <c r="C30" s="25"/>
      <c r="D30" s="24"/>
      <c r="E30" s="24"/>
      <c r="F30" s="24"/>
      <c r="G30" s="24"/>
      <c r="H30" s="69"/>
      <c r="I30" s="59"/>
      <c r="J30" s="56"/>
      <c r="K30" s="56"/>
      <c r="L30" s="59"/>
      <c r="M30" s="59"/>
      <c r="N30" s="56"/>
      <c r="O30" s="56"/>
      <c r="P30" s="56"/>
      <c r="Q30" s="56"/>
      <c r="R30" s="56"/>
      <c r="S30" s="56"/>
      <c r="T30" s="56"/>
      <c r="U30" s="56"/>
      <c r="V30" s="56"/>
    </row>
    <row r="31" spans="1:22" ht="15">
      <c r="A31" s="56"/>
      <c r="B31" s="68"/>
      <c r="C31" s="25"/>
      <c r="D31" s="24"/>
      <c r="E31" s="24"/>
      <c r="F31" s="24"/>
      <c r="G31" s="24"/>
      <c r="H31" s="69"/>
      <c r="I31" s="59"/>
      <c r="J31" s="56"/>
      <c r="K31" s="56"/>
      <c r="L31" s="59"/>
      <c r="M31" s="59"/>
      <c r="N31" s="56"/>
      <c r="O31" s="56"/>
      <c r="P31" s="56"/>
      <c r="Q31" s="56"/>
      <c r="R31" s="56"/>
      <c r="S31" s="56"/>
      <c r="T31" s="56"/>
      <c r="U31" s="56"/>
      <c r="V31" s="56"/>
    </row>
    <row r="32" spans="1:22" ht="15">
      <c r="A32" s="56"/>
      <c r="B32" s="68"/>
      <c r="C32" s="25"/>
      <c r="D32" s="24"/>
      <c r="E32" s="24"/>
      <c r="F32" s="24"/>
      <c r="G32" s="24"/>
      <c r="H32" s="69"/>
      <c r="I32" s="59"/>
      <c r="J32" s="56"/>
      <c r="K32" s="56"/>
      <c r="L32" s="59"/>
      <c r="M32" s="59"/>
      <c r="N32" s="56"/>
      <c r="O32" s="56"/>
      <c r="P32" s="56"/>
      <c r="Q32" s="56"/>
      <c r="R32" s="56"/>
      <c r="S32" s="56"/>
      <c r="T32" s="56"/>
      <c r="U32" s="56"/>
      <c r="V32" s="56"/>
    </row>
    <row r="33" spans="1:22" ht="15">
      <c r="A33" s="56"/>
      <c r="B33" s="68"/>
      <c r="C33" s="25"/>
      <c r="D33" s="24"/>
      <c r="E33" s="24"/>
      <c r="F33" s="24"/>
      <c r="G33" s="24"/>
      <c r="H33" s="69"/>
      <c r="I33" s="59"/>
      <c r="J33" s="56"/>
      <c r="K33" s="56"/>
      <c r="L33" s="59"/>
      <c r="M33" s="59"/>
      <c r="N33" s="56"/>
      <c r="O33" s="56"/>
      <c r="P33" s="56"/>
      <c r="Q33" s="56"/>
      <c r="R33" s="56"/>
      <c r="S33" s="56"/>
      <c r="T33" s="56"/>
      <c r="U33" s="56"/>
      <c r="V33" s="56"/>
    </row>
    <row r="34" spans="1:22" ht="15">
      <c r="A34" s="56"/>
      <c r="B34" s="68"/>
      <c r="C34" s="25"/>
      <c r="D34" s="24"/>
      <c r="E34" s="24"/>
      <c r="F34" s="24"/>
      <c r="G34" s="24"/>
      <c r="H34" s="69"/>
      <c r="I34" s="59"/>
      <c r="J34" s="56"/>
      <c r="K34" s="56"/>
      <c r="L34" s="59"/>
      <c r="M34" s="59"/>
      <c r="N34" s="56"/>
      <c r="O34" s="56"/>
      <c r="P34" s="56"/>
      <c r="Q34" s="56"/>
      <c r="R34" s="56"/>
      <c r="S34" s="56"/>
      <c r="T34" s="56"/>
      <c r="U34" s="56"/>
      <c r="V34" s="56"/>
    </row>
    <row r="35" spans="1:22" ht="15">
      <c r="A35" s="56"/>
      <c r="B35" s="68"/>
      <c r="C35" s="25"/>
      <c r="D35" s="24"/>
      <c r="E35" s="24"/>
      <c r="F35" s="24"/>
      <c r="G35" s="24"/>
      <c r="H35" s="69"/>
      <c r="I35" s="59"/>
      <c r="J35" s="56"/>
      <c r="K35" s="56"/>
      <c r="L35" s="59"/>
      <c r="M35" s="59"/>
      <c r="N35" s="56"/>
      <c r="O35" s="56"/>
      <c r="P35" s="56"/>
      <c r="Q35" s="56"/>
      <c r="R35" s="56"/>
      <c r="S35" s="56"/>
      <c r="T35" s="56"/>
      <c r="U35" s="56"/>
      <c r="V35" s="56"/>
    </row>
    <row r="36" spans="1:22" ht="15">
      <c r="A36" s="56"/>
      <c r="B36" s="68"/>
      <c r="C36" s="25"/>
      <c r="D36" s="24"/>
      <c r="E36" s="24"/>
      <c r="F36" s="24"/>
      <c r="G36" s="24"/>
      <c r="H36" s="69"/>
      <c r="I36" s="59"/>
      <c r="J36" s="56"/>
      <c r="K36" s="56"/>
      <c r="L36" s="59"/>
      <c r="M36" s="59"/>
      <c r="N36" s="56"/>
      <c r="O36" s="56"/>
      <c r="P36" s="56"/>
      <c r="Q36" s="56"/>
      <c r="R36" s="56"/>
      <c r="S36" s="56"/>
      <c r="T36" s="56"/>
      <c r="U36" s="56"/>
      <c r="V36" s="56"/>
    </row>
    <row r="37" spans="1:22" ht="15">
      <c r="A37" s="56"/>
      <c r="B37" s="68"/>
      <c r="C37" s="25"/>
      <c r="D37" s="24"/>
      <c r="E37" s="24"/>
      <c r="F37" s="24"/>
      <c r="G37" s="24"/>
      <c r="H37" s="69"/>
      <c r="I37" s="59"/>
      <c r="J37" s="56"/>
      <c r="K37" s="56"/>
      <c r="L37" s="59"/>
      <c r="M37" s="59"/>
      <c r="N37" s="56"/>
      <c r="O37" s="56"/>
      <c r="P37" s="56"/>
      <c r="Q37" s="56"/>
      <c r="R37" s="56"/>
      <c r="S37" s="56"/>
      <c r="T37" s="56"/>
      <c r="U37" s="56"/>
      <c r="V37" s="56"/>
    </row>
    <row r="38" spans="1:22" ht="15">
      <c r="A38" s="56"/>
      <c r="B38" s="68"/>
      <c r="C38" s="25"/>
      <c r="D38" s="24"/>
      <c r="E38" s="24"/>
      <c r="F38" s="24"/>
      <c r="G38" s="24"/>
      <c r="H38" s="69"/>
      <c r="I38" s="59"/>
      <c r="J38" s="56"/>
      <c r="K38" s="56"/>
      <c r="L38" s="59"/>
      <c r="M38" s="59"/>
      <c r="N38" s="56"/>
      <c r="O38" s="56"/>
      <c r="P38" s="56"/>
      <c r="Q38" s="56"/>
      <c r="R38" s="56"/>
      <c r="S38" s="56"/>
      <c r="T38" s="56"/>
      <c r="U38" s="56"/>
      <c r="V38" s="56"/>
    </row>
    <row r="39" spans="1:22" ht="39" thickBot="1">
      <c r="A39" s="56"/>
      <c r="B39" s="96" t="s">
        <v>15</v>
      </c>
      <c r="C39" s="97"/>
      <c r="D39" s="1" t="s">
        <v>16</v>
      </c>
      <c r="E39" s="3" t="s">
        <v>17</v>
      </c>
      <c r="F39" s="3" t="s">
        <v>21</v>
      </c>
      <c r="G39" s="24"/>
      <c r="H39" s="69"/>
      <c r="I39" s="59"/>
      <c r="J39" s="56"/>
      <c r="K39" s="56"/>
      <c r="L39" s="59"/>
      <c r="M39" s="59"/>
      <c r="N39" s="56"/>
      <c r="O39" s="56"/>
      <c r="P39" s="56"/>
      <c r="Q39" s="56"/>
      <c r="R39" s="56"/>
      <c r="S39" s="56"/>
      <c r="T39" s="56"/>
      <c r="U39" s="56"/>
      <c r="V39" s="56"/>
    </row>
    <row r="40" spans="1:22" ht="15.75" thickTop="1">
      <c r="A40" s="56"/>
      <c r="B40" s="93" t="str">
        <f>IF(L23=1,"Cobalt carbonate",IF(L23=2,"Cobalt sulfate monohydrate",IF(L23=3,"Cobalt sulfate heptahydrate")))</f>
        <v>Cobalt carbonate</v>
      </c>
      <c r="C40" s="94"/>
      <c r="D40" s="73">
        <f>IF(L23=1,F15/0.517,IF(L23=2,F15/0.33,IF(L23=3,F15/0.21)))</f>
        <v>1.1763671531563213</v>
      </c>
      <c r="E40" s="74">
        <f>D40/56818.18</f>
        <v>2.0704062558081257E-05</v>
      </c>
      <c r="F40" s="75">
        <f>E40*2000</f>
        <v>0.041408125116162514</v>
      </c>
      <c r="G40" s="24"/>
      <c r="H40" s="69"/>
      <c r="I40" s="59"/>
      <c r="J40" s="56"/>
      <c r="K40" s="56"/>
      <c r="L40" s="59"/>
      <c r="M40" s="59"/>
      <c r="N40" s="56"/>
      <c r="O40" s="56"/>
      <c r="P40" s="56"/>
      <c r="Q40" s="56"/>
      <c r="R40" s="56"/>
      <c r="S40" s="56"/>
      <c r="T40" s="56"/>
      <c r="U40" s="56"/>
      <c r="V40" s="56"/>
    </row>
    <row r="41" spans="1:22" ht="15">
      <c r="A41" s="56"/>
      <c r="B41" s="93" t="str">
        <f>IF(L24=1,"Copper sulfate",IF(L24=2,"Copper carbonate",IF(L24=3,"Copper oxide")))</f>
        <v>Copper sulfate</v>
      </c>
      <c r="C41" s="94"/>
      <c r="D41" s="73">
        <f>IF(L24=1,F16/0.25,IF(L24=2,F16/0.53,IF(L24=3,F16/0.12)))</f>
        <v>364.9090909090909</v>
      </c>
      <c r="E41" s="74">
        <f aca="true" t="shared" si="0" ref="E41:E46">D41/56818.18</f>
        <v>0.006422400205516806</v>
      </c>
      <c r="F41" s="75">
        <f aca="true" t="shared" si="1" ref="F41:F46">E41*2000</f>
        <v>12.844800411033612</v>
      </c>
      <c r="G41" s="24"/>
      <c r="H41" s="69"/>
      <c r="I41" s="59"/>
      <c r="J41" s="56"/>
      <c r="K41" s="56"/>
      <c r="L41" s="59"/>
      <c r="M41" s="59"/>
      <c r="N41" s="56"/>
      <c r="O41" s="56"/>
      <c r="P41" s="56"/>
      <c r="Q41" s="56"/>
      <c r="R41" s="56"/>
      <c r="S41" s="56"/>
      <c r="T41" s="56"/>
      <c r="U41" s="56"/>
      <c r="V41" s="56"/>
    </row>
    <row r="42" spans="1:22" ht="15">
      <c r="A42" s="56"/>
      <c r="B42" s="93" t="str">
        <f>IF(L25=1,"EDDI",IF(L25=2,"Potassium iodide",IF(L25=3,"Calcium iodide")))</f>
        <v>EDDI</v>
      </c>
      <c r="C42" s="94"/>
      <c r="D42" s="73">
        <f>IF(L25=1,F17/0.84,IF(L25=2,F17/0.69,IF(L25=3,F17/0.608)))</f>
        <v>3.62012987012987</v>
      </c>
      <c r="E42" s="74">
        <f t="shared" si="0"/>
        <v>6.371428775314292E-05</v>
      </c>
      <c r="F42" s="75">
        <f t="shared" si="1"/>
        <v>0.12742857550628583</v>
      </c>
      <c r="G42" s="24"/>
      <c r="H42" s="69"/>
      <c r="I42" s="59"/>
      <c r="J42" s="56"/>
      <c r="K42" s="56"/>
      <c r="L42" s="59"/>
      <c r="M42" s="59"/>
      <c r="N42" s="56"/>
      <c r="O42" s="56"/>
      <c r="P42" s="56"/>
      <c r="Q42" s="56"/>
      <c r="R42" s="56"/>
      <c r="S42" s="56"/>
      <c r="T42" s="56"/>
      <c r="U42" s="56"/>
      <c r="V42" s="56"/>
    </row>
    <row r="43" spans="1:22" ht="15">
      <c r="A43" s="56"/>
      <c r="B43" s="93" t="str">
        <f>IF(L26=1,"Manganese monoxide",IF(L26=2,"Manganese sulfate",IF(L26=3,"Manganese dioxide")))</f>
        <v>Manganese monoxide</v>
      </c>
      <c r="C43" s="94"/>
      <c r="D43" s="73">
        <f>IF(L26=1,F18/0.36,IF(L26=2,F18/0.27,IF(L26=3,F18/0.22)))</f>
        <v>1351.5151515151515</v>
      </c>
      <c r="E43" s="74">
        <f t="shared" si="0"/>
        <v>0.023786667427840025</v>
      </c>
      <c r="F43" s="75">
        <f t="shared" si="1"/>
        <v>47.57333485568005</v>
      </c>
      <c r="G43" s="24"/>
      <c r="H43" s="69"/>
      <c r="I43" s="59"/>
      <c r="J43" s="56"/>
      <c r="K43" s="56"/>
      <c r="L43" s="59"/>
      <c r="M43" s="59"/>
      <c r="N43" s="56"/>
      <c r="O43" s="56"/>
      <c r="P43" s="56"/>
      <c r="Q43" s="56"/>
      <c r="R43" s="56"/>
      <c r="S43" s="56"/>
      <c r="T43" s="56"/>
      <c r="U43" s="56"/>
      <c r="V43" s="56"/>
    </row>
    <row r="44" spans="1:22" ht="15">
      <c r="A44" s="56"/>
      <c r="B44" s="93" t="str">
        <f>IF(L27=1,"Sodium selenate","Sodium selenite")</f>
        <v>Sodium selenate</v>
      </c>
      <c r="C44" s="94"/>
      <c r="D44" s="73">
        <f>IF(L27=1,F19/0.4,IF(L27=2,F19/0.456))</f>
        <v>3.0409090909090906</v>
      </c>
      <c r="E44" s="74">
        <f t="shared" si="0"/>
        <v>5.352000171264005E-05</v>
      </c>
      <c r="F44" s="75">
        <f t="shared" si="1"/>
        <v>0.1070400034252801</v>
      </c>
      <c r="G44" s="24"/>
      <c r="H44" s="69"/>
      <c r="I44" s="59"/>
      <c r="J44" s="56"/>
      <c r="K44" s="56"/>
      <c r="L44" s="59"/>
      <c r="M44" s="59"/>
      <c r="N44" s="56"/>
      <c r="O44" s="56"/>
      <c r="P44" s="56"/>
      <c r="Q44" s="56"/>
      <c r="R44" s="56"/>
      <c r="S44" s="56"/>
      <c r="T44" s="56"/>
      <c r="U44" s="56"/>
      <c r="V44" s="56"/>
    </row>
    <row r="45" spans="1:22" ht="15">
      <c r="A45" s="56"/>
      <c r="B45" s="93" t="str">
        <f>IF(L28=1,"Zinc oxide",IF(L28=2,"Zinc sulfate",IF(L28=3,"Zinc carbonate")))</f>
        <v>Zinc carbonate</v>
      </c>
      <c r="C45" s="94"/>
      <c r="D45" s="73">
        <f>IF(L28=1,F20/0.72,IF(L28=2,F20/0.36,IF(L28=3,F20/0.336)))</f>
        <v>814.5292207792206</v>
      </c>
      <c r="E45" s="74">
        <f t="shared" si="0"/>
        <v>0.014335714744457155</v>
      </c>
      <c r="F45" s="75">
        <f t="shared" si="1"/>
        <v>28.67142948891431</v>
      </c>
      <c r="G45" s="24"/>
      <c r="H45" s="69"/>
      <c r="I45" s="59"/>
      <c r="J45" s="56"/>
      <c r="K45" s="56"/>
      <c r="L45" s="59"/>
      <c r="M45" s="59"/>
      <c r="N45" s="56"/>
      <c r="O45" s="56"/>
      <c r="P45" s="56"/>
      <c r="Q45" s="56"/>
      <c r="R45" s="56"/>
      <c r="S45" s="56"/>
      <c r="T45" s="56"/>
      <c r="U45" s="56"/>
      <c r="V45" s="56"/>
    </row>
    <row r="46" spans="1:22" ht="15">
      <c r="A46" s="56"/>
      <c r="B46" s="93" t="s">
        <v>18</v>
      </c>
      <c r="C46" s="94"/>
      <c r="D46" s="73">
        <f>56818.18-SUM(D40:D45)</f>
        <v>54279.38913068234</v>
      </c>
      <c r="E46" s="74">
        <f t="shared" si="0"/>
        <v>0.9553172792701622</v>
      </c>
      <c r="F46" s="75">
        <f t="shared" si="1"/>
        <v>1910.6345585403244</v>
      </c>
      <c r="G46" s="24"/>
      <c r="H46" s="69"/>
      <c r="I46" s="59"/>
      <c r="J46" s="56"/>
      <c r="K46" s="56"/>
      <c r="L46" s="59"/>
      <c r="M46" s="59"/>
      <c r="N46" s="56"/>
      <c r="O46" s="56"/>
      <c r="P46" s="56"/>
      <c r="Q46" s="56"/>
      <c r="R46" s="56"/>
      <c r="S46" s="56"/>
      <c r="T46" s="56"/>
      <c r="U46" s="56"/>
      <c r="V46" s="56"/>
    </row>
    <row r="47" spans="1:22" ht="15">
      <c r="A47" s="56"/>
      <c r="B47" s="68"/>
      <c r="C47" s="25"/>
      <c r="D47" s="24"/>
      <c r="E47" s="24"/>
      <c r="F47" s="24"/>
      <c r="G47" s="24"/>
      <c r="H47" s="69"/>
      <c r="I47" s="59"/>
      <c r="J47" s="56"/>
      <c r="K47" s="56"/>
      <c r="L47" s="59"/>
      <c r="M47" s="59"/>
      <c r="N47" s="56"/>
      <c r="O47" s="56"/>
      <c r="P47" s="56"/>
      <c r="Q47" s="56"/>
      <c r="R47" s="56"/>
      <c r="S47" s="56"/>
      <c r="T47" s="56"/>
      <c r="U47" s="56"/>
      <c r="V47" s="56"/>
    </row>
    <row r="48" spans="1:22" ht="15">
      <c r="A48" s="56"/>
      <c r="B48" s="68"/>
      <c r="C48" s="25"/>
      <c r="D48" s="24"/>
      <c r="E48" s="24"/>
      <c r="F48" s="24"/>
      <c r="G48" s="48" t="s">
        <v>29</v>
      </c>
      <c r="H48" s="76" t="s">
        <v>30</v>
      </c>
      <c r="I48" s="59"/>
      <c r="J48" s="56"/>
      <c r="K48" s="56"/>
      <c r="L48" s="59"/>
      <c r="M48" s="59"/>
      <c r="N48" s="56"/>
      <c r="O48" s="56"/>
      <c r="P48" s="56"/>
      <c r="Q48" s="56"/>
      <c r="R48" s="56"/>
      <c r="S48" s="56"/>
      <c r="T48" s="56"/>
      <c r="U48" s="56"/>
      <c r="V48" s="56"/>
    </row>
    <row r="49" spans="1:22" ht="29.25" customHeight="1">
      <c r="A49" s="56"/>
      <c r="B49" s="98" t="s">
        <v>31</v>
      </c>
      <c r="C49" s="99"/>
      <c r="D49" s="99"/>
      <c r="E49" s="99"/>
      <c r="F49" s="99"/>
      <c r="G49" s="54">
        <f>21590.9/M23</f>
        <v>0.0017750366218236178</v>
      </c>
      <c r="H49" s="77">
        <v>0</v>
      </c>
      <c r="I49" s="59"/>
      <c r="J49" s="56"/>
      <c r="K49" s="56"/>
      <c r="L49" s="63"/>
      <c r="M49" s="59"/>
      <c r="N49" s="56"/>
      <c r="O49" s="56"/>
      <c r="P49" s="56"/>
      <c r="Q49" s="56"/>
      <c r="R49" s="56"/>
      <c r="S49" s="56"/>
      <c r="T49" s="56"/>
      <c r="U49" s="56"/>
      <c r="V49" s="56"/>
    </row>
    <row r="50" spans="1:22" ht="29.25" customHeight="1">
      <c r="A50" s="56"/>
      <c r="B50" s="98" t="s">
        <v>32</v>
      </c>
      <c r="C50" s="99"/>
      <c r="D50" s="99"/>
      <c r="E50" s="99"/>
      <c r="F50" s="99"/>
      <c r="G50" s="54">
        <f>11363.6/M23</f>
        <v>0.0009342272047832587</v>
      </c>
      <c r="H50" s="78">
        <f>10511.4/M23</f>
        <v>0.0008641659192825113</v>
      </c>
      <c r="I50" s="59"/>
      <c r="J50" s="56"/>
      <c r="K50" s="56"/>
      <c r="L50" s="59"/>
      <c r="M50" s="59"/>
      <c r="N50" s="56"/>
      <c r="O50" s="56"/>
      <c r="P50" s="56"/>
      <c r="Q50" s="56"/>
      <c r="R50" s="56"/>
      <c r="S50" s="56"/>
      <c r="T50" s="56"/>
      <c r="U50" s="56"/>
      <c r="V50" s="56"/>
    </row>
    <row r="51" spans="1:22" ht="30" customHeight="1">
      <c r="A51" s="56"/>
      <c r="B51" s="98" t="s">
        <v>33</v>
      </c>
      <c r="C51" s="99"/>
      <c r="D51" s="99"/>
      <c r="E51" s="99"/>
      <c r="F51" s="99"/>
      <c r="G51" s="54">
        <f>9090.9/M23</f>
        <v>0.000747383408071749</v>
      </c>
      <c r="H51" s="78">
        <f>11931.8/M23</f>
        <v>0.0009809402092675636</v>
      </c>
      <c r="I51" s="59"/>
      <c r="J51" s="56"/>
      <c r="K51" s="56"/>
      <c r="L51" s="64"/>
      <c r="M51" s="64"/>
      <c r="N51" s="56"/>
      <c r="O51" s="56"/>
      <c r="P51" s="56"/>
      <c r="Q51" s="56"/>
      <c r="R51" s="56"/>
      <c r="S51" s="56"/>
      <c r="T51" s="56"/>
      <c r="U51" s="56"/>
      <c r="V51" s="56"/>
    </row>
    <row r="52" spans="1:22" ht="39.75" customHeight="1">
      <c r="A52" s="56"/>
      <c r="B52" s="98" t="s">
        <v>34</v>
      </c>
      <c r="C52" s="99"/>
      <c r="D52" s="99"/>
      <c r="E52" s="99"/>
      <c r="F52" s="99"/>
      <c r="G52" s="54">
        <f>6818.2/M23</f>
        <v>0.0005605396113602392</v>
      </c>
      <c r="H52" s="78">
        <f>6306.8/M23</f>
        <v>0.0005184962630792228</v>
      </c>
      <c r="I52" s="59"/>
      <c r="J52" s="56"/>
      <c r="K52" s="56"/>
      <c r="L52" s="64"/>
      <c r="M52" s="64"/>
      <c r="N52" s="56"/>
      <c r="O52" s="56"/>
      <c r="P52" s="56"/>
      <c r="Q52" s="56"/>
      <c r="R52" s="56"/>
      <c r="S52" s="56"/>
      <c r="T52" s="56"/>
      <c r="U52" s="56"/>
      <c r="V52" s="56"/>
    </row>
    <row r="53" spans="1:22" ht="15">
      <c r="A53" s="56"/>
      <c r="B53" s="68"/>
      <c r="C53" s="25"/>
      <c r="D53" s="24"/>
      <c r="E53" s="24"/>
      <c r="F53" s="24"/>
      <c r="G53" s="24"/>
      <c r="H53" s="69"/>
      <c r="I53" s="59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ht="15">
      <c r="A54" s="56"/>
      <c r="B54" s="68"/>
      <c r="C54" s="25"/>
      <c r="D54" s="109"/>
      <c r="E54" s="109"/>
      <c r="F54" s="109"/>
      <c r="G54" s="109"/>
      <c r="H54" s="110"/>
      <c r="I54" s="59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ht="15">
      <c r="A55" s="56"/>
      <c r="B55" s="68"/>
      <c r="C55" s="25"/>
      <c r="D55" s="24"/>
      <c r="E55" s="24"/>
      <c r="F55" s="24"/>
      <c r="G55" s="24"/>
      <c r="H55" s="69"/>
      <c r="I55" s="59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ht="15">
      <c r="A56" s="56"/>
      <c r="B56" s="68"/>
      <c r="C56" s="25"/>
      <c r="D56" s="24"/>
      <c r="E56" s="24"/>
      <c r="F56" s="24"/>
      <c r="G56" s="24"/>
      <c r="H56" s="69"/>
      <c r="I56" s="59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ht="15">
      <c r="A57" s="56"/>
      <c r="B57" s="68"/>
      <c r="C57" s="25"/>
      <c r="D57" s="24"/>
      <c r="E57" s="24"/>
      <c r="F57" s="24"/>
      <c r="G57" s="24"/>
      <c r="H57" s="69"/>
      <c r="I57" s="59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ht="15.75" thickBot="1">
      <c r="A58" s="56"/>
      <c r="B58" s="79"/>
      <c r="C58" s="80"/>
      <c r="D58" s="81"/>
      <c r="E58" s="81"/>
      <c r="F58" s="81"/>
      <c r="G58" s="81"/>
      <c r="H58" s="82"/>
      <c r="I58" s="59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ht="15">
      <c r="A59" s="56"/>
      <c r="B59" s="56"/>
      <c r="C59" s="56"/>
      <c r="D59" s="59"/>
      <c r="E59" s="59"/>
      <c r="F59" s="59"/>
      <c r="G59" s="59"/>
      <c r="H59" s="59"/>
      <c r="I59" s="59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ht="15">
      <c r="A60" s="56"/>
      <c r="B60" s="56"/>
      <c r="C60" s="56"/>
      <c r="D60" s="59"/>
      <c r="E60" s="59"/>
      <c r="F60" s="59"/>
      <c r="G60" s="59"/>
      <c r="H60" s="59"/>
      <c r="I60" s="59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ht="15">
      <c r="A61" s="56"/>
      <c r="B61" s="56"/>
      <c r="C61" s="56"/>
      <c r="D61" s="59"/>
      <c r="E61" s="59"/>
      <c r="F61" s="59"/>
      <c r="G61" s="59"/>
      <c r="H61" s="59"/>
      <c r="I61" s="59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22" ht="15">
      <c r="A62" s="56"/>
      <c r="B62" s="56"/>
      <c r="C62" s="56"/>
      <c r="D62" s="59"/>
      <c r="E62" s="59"/>
      <c r="F62" s="59"/>
      <c r="G62" s="59"/>
      <c r="H62" s="59"/>
      <c r="I62" s="59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ht="15">
      <c r="A63" s="56"/>
      <c r="B63" s="56"/>
      <c r="C63" s="56"/>
      <c r="D63" s="59"/>
      <c r="E63" s="59"/>
      <c r="F63" s="59"/>
      <c r="G63" s="59"/>
      <c r="H63" s="59"/>
      <c r="I63" s="59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ht="15">
      <c r="A64" s="56"/>
      <c r="B64" s="56"/>
      <c r="C64" s="56"/>
      <c r="D64" s="59"/>
      <c r="E64" s="59"/>
      <c r="F64" s="59"/>
      <c r="G64" s="59"/>
      <c r="H64" s="59"/>
      <c r="I64" s="59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ht="15">
      <c r="A65" s="56"/>
      <c r="B65" s="56"/>
      <c r="C65" s="56"/>
      <c r="D65" s="59"/>
      <c r="E65" s="59"/>
      <c r="F65" s="59"/>
      <c r="G65" s="59"/>
      <c r="H65" s="59"/>
      <c r="I65" s="59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ht="15">
      <c r="A66" s="56"/>
      <c r="B66" s="56"/>
      <c r="C66" s="56"/>
      <c r="D66" s="59"/>
      <c r="E66" s="59"/>
      <c r="F66" s="59"/>
      <c r="G66" s="59"/>
      <c r="H66" s="59"/>
      <c r="I66" s="59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ht="15">
      <c r="A67" s="56"/>
      <c r="B67" s="56"/>
      <c r="C67" s="56"/>
      <c r="D67" s="59"/>
      <c r="E67" s="59"/>
      <c r="F67" s="59"/>
      <c r="G67" s="59"/>
      <c r="H67" s="59"/>
      <c r="I67" s="59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ht="15">
      <c r="A68" s="56"/>
      <c r="B68" s="56"/>
      <c r="C68" s="56"/>
      <c r="D68" s="59"/>
      <c r="E68" s="59"/>
      <c r="F68" s="59"/>
      <c r="G68" s="59"/>
      <c r="H68" s="59"/>
      <c r="I68" s="59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ht="15">
      <c r="A69" s="56"/>
      <c r="B69" s="56"/>
      <c r="C69" s="56"/>
      <c r="D69" s="59"/>
      <c r="E69" s="59"/>
      <c r="F69" s="59"/>
      <c r="G69" s="59"/>
      <c r="H69" s="59"/>
      <c r="I69" s="59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ht="15">
      <c r="A70" s="56"/>
      <c r="B70" s="56"/>
      <c r="C70" s="56"/>
      <c r="D70" s="59"/>
      <c r="E70" s="59"/>
      <c r="F70" s="59"/>
      <c r="G70" s="59"/>
      <c r="H70" s="59"/>
      <c r="I70" s="59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ht="15">
      <c r="A71" s="56"/>
      <c r="B71" s="56"/>
      <c r="C71" s="56"/>
      <c r="D71" s="59"/>
      <c r="E71" s="59"/>
      <c r="F71" s="59"/>
      <c r="G71" s="59"/>
      <c r="H71" s="59"/>
      <c r="I71" s="59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ht="15">
      <c r="A72" s="56"/>
      <c r="B72" s="56"/>
      <c r="C72" s="56"/>
      <c r="D72" s="59"/>
      <c r="E72" s="59"/>
      <c r="F72" s="59"/>
      <c r="G72" s="59"/>
      <c r="H72" s="59"/>
      <c r="I72" s="59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1:22" ht="15">
      <c r="A73" s="56"/>
      <c r="B73" s="56"/>
      <c r="C73" s="56"/>
      <c r="D73" s="59"/>
      <c r="E73" s="59"/>
      <c r="F73" s="59"/>
      <c r="G73" s="59"/>
      <c r="H73" s="59"/>
      <c r="I73" s="59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ht="15">
      <c r="A74" s="56"/>
      <c r="B74" s="56"/>
      <c r="C74" s="56"/>
      <c r="D74" s="59"/>
      <c r="E74" s="59"/>
      <c r="F74" s="59"/>
      <c r="G74" s="59"/>
      <c r="H74" s="59"/>
      <c r="I74" s="59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 ht="15">
      <c r="A75" s="56"/>
      <c r="B75" s="56"/>
      <c r="C75" s="56"/>
      <c r="D75" s="59"/>
      <c r="E75" s="59"/>
      <c r="F75" s="59"/>
      <c r="G75" s="59"/>
      <c r="H75" s="59"/>
      <c r="I75" s="59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2" ht="15">
      <c r="A76" s="56"/>
      <c r="B76" s="56"/>
      <c r="C76" s="56"/>
      <c r="D76" s="59"/>
      <c r="E76" s="59"/>
      <c r="F76" s="59"/>
      <c r="G76" s="59"/>
      <c r="H76" s="59"/>
      <c r="I76" s="59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1:22" ht="15">
      <c r="A77" s="56"/>
      <c r="B77" s="56"/>
      <c r="C77" s="56"/>
      <c r="D77" s="59"/>
      <c r="E77" s="59"/>
      <c r="F77" s="59"/>
      <c r="G77" s="59"/>
      <c r="H77" s="59"/>
      <c r="I77" s="59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1:22" ht="15">
      <c r="A78" s="56"/>
      <c r="B78" s="56"/>
      <c r="C78" s="56"/>
      <c r="D78" s="59"/>
      <c r="E78" s="59"/>
      <c r="F78" s="59"/>
      <c r="G78" s="59"/>
      <c r="H78" s="59"/>
      <c r="I78" s="59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1:22" ht="15">
      <c r="A79" s="56"/>
      <c r="B79" s="56"/>
      <c r="C79" s="56"/>
      <c r="D79" s="59"/>
      <c r="E79" s="59"/>
      <c r="F79" s="59"/>
      <c r="G79" s="59"/>
      <c r="H79" s="59"/>
      <c r="I79" s="59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1:22" ht="15">
      <c r="A80" s="56"/>
      <c r="B80" s="56"/>
      <c r="C80" s="56"/>
      <c r="D80" s="59"/>
      <c r="E80" s="59"/>
      <c r="F80" s="59"/>
      <c r="G80" s="59"/>
      <c r="H80" s="59"/>
      <c r="I80" s="59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1:22" ht="15">
      <c r="A81" s="56"/>
      <c r="B81" s="56"/>
      <c r="C81" s="56"/>
      <c r="D81" s="59"/>
      <c r="E81" s="59"/>
      <c r="F81" s="59"/>
      <c r="G81" s="59"/>
      <c r="H81" s="59"/>
      <c r="I81" s="59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1:22" ht="15">
      <c r="A82" s="56"/>
      <c r="B82" s="56"/>
      <c r="C82" s="56"/>
      <c r="D82" s="59"/>
      <c r="E82" s="59"/>
      <c r="F82" s="59"/>
      <c r="G82" s="59"/>
      <c r="H82" s="59"/>
      <c r="I82" s="59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1:22" ht="15">
      <c r="A83" s="56"/>
      <c r="B83" s="56"/>
      <c r="C83" s="56"/>
      <c r="D83" s="59"/>
      <c r="E83" s="59"/>
      <c r="F83" s="59"/>
      <c r="G83" s="59"/>
      <c r="H83" s="59"/>
      <c r="I83" s="59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1:22" ht="15">
      <c r="A84" s="56"/>
      <c r="B84" s="56"/>
      <c r="C84" s="56"/>
      <c r="D84" s="59"/>
      <c r="E84" s="59"/>
      <c r="F84" s="59"/>
      <c r="G84" s="59"/>
      <c r="H84" s="59"/>
      <c r="I84" s="59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1:22" ht="15">
      <c r="A85" s="56"/>
      <c r="B85" s="56"/>
      <c r="C85" s="56"/>
      <c r="D85" s="59"/>
      <c r="E85" s="59"/>
      <c r="F85" s="59"/>
      <c r="G85" s="59"/>
      <c r="H85" s="59"/>
      <c r="I85" s="59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1:22" ht="15">
      <c r="A86" s="56"/>
      <c r="B86" s="56"/>
      <c r="C86" s="56"/>
      <c r="D86" s="59"/>
      <c r="E86" s="59"/>
      <c r="F86" s="59"/>
      <c r="G86" s="59"/>
      <c r="H86" s="59"/>
      <c r="I86" s="59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1:22" ht="15">
      <c r="A87" s="56"/>
      <c r="B87" s="56"/>
      <c r="C87" s="56"/>
      <c r="D87" s="59"/>
      <c r="E87" s="59"/>
      <c r="F87" s="59"/>
      <c r="G87" s="59"/>
      <c r="H87" s="59"/>
      <c r="I87" s="59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1:22" ht="15">
      <c r="A88" s="56"/>
      <c r="B88" s="56"/>
      <c r="C88" s="56"/>
      <c r="D88" s="59"/>
      <c r="E88" s="59"/>
      <c r="F88" s="59"/>
      <c r="G88" s="59"/>
      <c r="H88" s="59"/>
      <c r="I88" s="59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1:22" ht="15">
      <c r="A89" s="56"/>
      <c r="B89" s="56"/>
      <c r="C89" s="56"/>
      <c r="D89" s="59"/>
      <c r="E89" s="59"/>
      <c r="F89" s="59"/>
      <c r="G89" s="59"/>
      <c r="H89" s="59"/>
      <c r="I89" s="59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1:22" ht="15">
      <c r="A90" s="56"/>
      <c r="B90" s="56"/>
      <c r="C90" s="56"/>
      <c r="D90" s="59"/>
      <c r="E90" s="59"/>
      <c r="F90" s="59"/>
      <c r="G90" s="59"/>
      <c r="H90" s="59"/>
      <c r="I90" s="59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1:22" ht="15">
      <c r="A91" s="56"/>
      <c r="B91" s="56"/>
      <c r="C91" s="56"/>
      <c r="D91" s="59"/>
      <c r="E91" s="59"/>
      <c r="F91" s="59"/>
      <c r="G91" s="59"/>
      <c r="H91" s="59"/>
      <c r="I91" s="59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1:22" ht="15">
      <c r="A92" s="56"/>
      <c r="B92" s="56"/>
      <c r="C92" s="56"/>
      <c r="D92" s="59"/>
      <c r="E92" s="59"/>
      <c r="F92" s="59"/>
      <c r="G92" s="59"/>
      <c r="H92" s="59"/>
      <c r="I92" s="59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1:22" ht="15">
      <c r="A93" s="56"/>
      <c r="B93" s="56"/>
      <c r="C93" s="56"/>
      <c r="D93" s="59"/>
      <c r="E93" s="59"/>
      <c r="F93" s="59"/>
      <c r="G93" s="59"/>
      <c r="H93" s="59"/>
      <c r="I93" s="59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1:22" ht="15">
      <c r="A94" s="56"/>
      <c r="B94" s="56"/>
      <c r="C94" s="56"/>
      <c r="D94" s="59"/>
      <c r="E94" s="59"/>
      <c r="F94" s="59"/>
      <c r="G94" s="59"/>
      <c r="H94" s="59"/>
      <c r="I94" s="59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1:22" ht="15">
      <c r="A95" s="56"/>
      <c r="B95" s="56"/>
      <c r="C95" s="56"/>
      <c r="D95" s="59"/>
      <c r="E95" s="59"/>
      <c r="F95" s="59"/>
      <c r="G95" s="59"/>
      <c r="H95" s="59"/>
      <c r="I95" s="59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ht="15">
      <c r="A96" s="56"/>
      <c r="B96" s="56"/>
      <c r="C96" s="56"/>
      <c r="D96" s="59"/>
      <c r="E96" s="59"/>
      <c r="F96" s="59"/>
      <c r="G96" s="59"/>
      <c r="H96" s="59"/>
      <c r="I96" s="59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ht="15">
      <c r="A97" s="56"/>
      <c r="B97" s="56"/>
      <c r="C97" s="56"/>
      <c r="D97" s="59"/>
      <c r="E97" s="59"/>
      <c r="F97" s="59"/>
      <c r="G97" s="59"/>
      <c r="H97" s="59"/>
      <c r="I97" s="59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</row>
    <row r="98" spans="1:22" ht="15">
      <c r="A98" s="56"/>
      <c r="B98" s="56"/>
      <c r="C98" s="56"/>
      <c r="D98" s="59"/>
      <c r="E98" s="59"/>
      <c r="F98" s="59"/>
      <c r="G98" s="59"/>
      <c r="H98" s="59"/>
      <c r="I98" s="59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</row>
    <row r="99" spans="1:22" ht="15">
      <c r="A99" s="56"/>
      <c r="B99" s="56"/>
      <c r="C99" s="56"/>
      <c r="D99" s="59"/>
      <c r="E99" s="59"/>
      <c r="F99" s="59"/>
      <c r="G99" s="59"/>
      <c r="H99" s="59"/>
      <c r="I99" s="59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</row>
    <row r="100" spans="1:61" ht="25.5">
      <c r="A100" s="56"/>
      <c r="B100" s="56"/>
      <c r="C100" s="56"/>
      <c r="D100" s="59"/>
      <c r="E100" s="59"/>
      <c r="F100" s="59"/>
      <c r="G100" s="59"/>
      <c r="H100" s="59"/>
      <c r="I100" s="59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BA100" s="20"/>
      <c r="BB100" s="91" t="s">
        <v>22</v>
      </c>
      <c r="BC100" s="91"/>
      <c r="BD100" s="91"/>
      <c r="BE100" s="91"/>
      <c r="BF100" s="91"/>
      <c r="BG100" s="91"/>
      <c r="BH100" s="91"/>
      <c r="BI100" s="21"/>
    </row>
    <row r="101" spans="53:61" ht="20.25">
      <c r="BA101" s="22"/>
      <c r="BB101" s="92" t="s">
        <v>24</v>
      </c>
      <c r="BC101" s="92"/>
      <c r="BD101" s="92"/>
      <c r="BE101" s="92"/>
      <c r="BF101" s="92"/>
      <c r="BG101" s="92"/>
      <c r="BH101" s="92"/>
      <c r="BI101" s="23"/>
    </row>
    <row r="102" spans="53:61" ht="20.25">
      <c r="BA102" s="22"/>
      <c r="BB102" s="92" t="s">
        <v>23</v>
      </c>
      <c r="BC102" s="92"/>
      <c r="BD102" s="92"/>
      <c r="BE102" s="92"/>
      <c r="BF102" s="92"/>
      <c r="BG102" s="92"/>
      <c r="BH102" s="92"/>
      <c r="BI102" s="23"/>
    </row>
    <row r="103" spans="53:61" ht="15">
      <c r="BA103" s="22"/>
      <c r="BB103" s="101" t="s">
        <v>25</v>
      </c>
      <c r="BC103" s="101"/>
      <c r="BD103" s="101"/>
      <c r="BE103" s="101"/>
      <c r="BF103" s="101"/>
      <c r="BG103" s="101"/>
      <c r="BH103" s="101"/>
      <c r="BI103" s="23"/>
    </row>
    <row r="104" spans="53:61" ht="60.75" customHeight="1">
      <c r="BA104" s="22"/>
      <c r="BB104" s="107" t="s">
        <v>35</v>
      </c>
      <c r="BC104" s="107"/>
      <c r="BD104" s="107"/>
      <c r="BE104" s="107"/>
      <c r="BF104" s="107"/>
      <c r="BG104" s="107"/>
      <c r="BH104" s="107"/>
      <c r="BI104" s="23"/>
    </row>
    <row r="105" spans="53:61" ht="15">
      <c r="BA105" s="22"/>
      <c r="BB105" s="87" t="s">
        <v>27</v>
      </c>
      <c r="BC105" s="87"/>
      <c r="BD105" s="87"/>
      <c r="BE105" s="87"/>
      <c r="BF105" s="87"/>
      <c r="BG105" s="87"/>
      <c r="BH105" s="87"/>
      <c r="BI105" s="23"/>
    </row>
    <row r="106" spans="53:61" ht="6.75" customHeight="1">
      <c r="BA106" s="22"/>
      <c r="BB106" s="24"/>
      <c r="BC106" s="24"/>
      <c r="BD106" s="24"/>
      <c r="BE106" s="24"/>
      <c r="BF106" s="24"/>
      <c r="BG106" s="24"/>
      <c r="BH106" s="24"/>
      <c r="BI106" s="23"/>
    </row>
    <row r="107" spans="53:61" ht="15">
      <c r="BA107" s="22"/>
      <c r="BB107" s="88" t="s">
        <v>8</v>
      </c>
      <c r="BC107" s="88"/>
      <c r="BD107" s="88"/>
      <c r="BE107" s="11">
        <f aca="true" t="shared" si="2" ref="BE107:BF109">E10</f>
        <v>1200</v>
      </c>
      <c r="BF107" s="10">
        <f t="shared" si="2"/>
        <v>545.4545454545454</v>
      </c>
      <c r="BG107" s="5" t="s">
        <v>10</v>
      </c>
      <c r="BH107" s="24"/>
      <c r="BI107" s="23"/>
    </row>
    <row r="108" spans="53:61" ht="15">
      <c r="BA108" s="22"/>
      <c r="BB108" s="88" t="s">
        <v>12</v>
      </c>
      <c r="BC108" s="88"/>
      <c r="BD108" s="88"/>
      <c r="BE108" s="12">
        <f t="shared" si="2"/>
        <v>2.23</v>
      </c>
      <c r="BF108" s="10">
        <f t="shared" si="2"/>
        <v>12.163636363636362</v>
      </c>
      <c r="BG108" s="9" t="s">
        <v>9</v>
      </c>
      <c r="BH108" s="24"/>
      <c r="BI108" s="23"/>
    </row>
    <row r="109" spans="53:61" ht="15">
      <c r="BA109" s="22"/>
      <c r="BB109" s="88" t="s">
        <v>13</v>
      </c>
      <c r="BC109" s="88"/>
      <c r="BD109" s="88"/>
      <c r="BE109" s="12">
        <f t="shared" si="2"/>
        <v>2</v>
      </c>
      <c r="BF109" s="10">
        <f t="shared" si="2"/>
        <v>56750</v>
      </c>
      <c r="BG109" s="6" t="s">
        <v>14</v>
      </c>
      <c r="BH109" s="24"/>
      <c r="BI109" s="23"/>
    </row>
    <row r="110" spans="53:61" ht="6.75" customHeight="1">
      <c r="BA110" s="22"/>
      <c r="BB110" s="25"/>
      <c r="BC110" s="25"/>
      <c r="BD110" s="25"/>
      <c r="BE110" s="25"/>
      <c r="BF110" s="25"/>
      <c r="BG110" s="25"/>
      <c r="BH110" s="25"/>
      <c r="BI110" s="23"/>
    </row>
    <row r="111" spans="53:61" ht="51">
      <c r="BA111" s="22"/>
      <c r="BB111" s="31" t="s">
        <v>1</v>
      </c>
      <c r="BC111" s="32" t="s">
        <v>28</v>
      </c>
      <c r="BD111" s="32" t="s">
        <v>0</v>
      </c>
      <c r="BE111" s="32" t="s">
        <v>19</v>
      </c>
      <c r="BF111" s="32" t="s">
        <v>11</v>
      </c>
      <c r="BG111" s="33" t="s">
        <v>20</v>
      </c>
      <c r="BH111" s="25"/>
      <c r="BI111" s="23"/>
    </row>
    <row r="112" spans="53:61" ht="15">
      <c r="BA112" s="22"/>
      <c r="BB112" s="13" t="s">
        <v>2</v>
      </c>
      <c r="BC112" s="14">
        <v>0.1</v>
      </c>
      <c r="BD112" s="43">
        <f aca="true" t="shared" si="3" ref="BD112:BD117">D15</f>
        <v>0.1</v>
      </c>
      <c r="BE112" s="44">
        <f aca="true" t="shared" si="4" ref="BE112:BG117">E15</f>
        <v>0.5</v>
      </c>
      <c r="BF112" s="45">
        <f t="shared" si="4"/>
        <v>0.6081818181818182</v>
      </c>
      <c r="BG112" s="46">
        <f t="shared" si="4"/>
        <v>1.3515151515151513</v>
      </c>
      <c r="BH112" s="25"/>
      <c r="BI112" s="23"/>
    </row>
    <row r="113" spans="53:61" ht="15">
      <c r="BA113" s="22"/>
      <c r="BB113" s="13" t="s">
        <v>3</v>
      </c>
      <c r="BC113" s="14">
        <v>10</v>
      </c>
      <c r="BD113" s="43">
        <f t="shared" si="3"/>
        <v>10</v>
      </c>
      <c r="BE113" s="44">
        <f t="shared" si="4"/>
        <v>0.75</v>
      </c>
      <c r="BF113" s="45">
        <f t="shared" si="4"/>
        <v>91.22727272727272</v>
      </c>
      <c r="BG113" s="46">
        <f t="shared" si="4"/>
        <v>364.9090909090909</v>
      </c>
      <c r="BH113" s="25"/>
      <c r="BI113" s="23"/>
    </row>
    <row r="114" spans="53:61" ht="15">
      <c r="BA114" s="22"/>
      <c r="BB114" s="13" t="s">
        <v>4</v>
      </c>
      <c r="BC114" s="14">
        <v>0.5</v>
      </c>
      <c r="BD114" s="43">
        <f t="shared" si="3"/>
        <v>0.5</v>
      </c>
      <c r="BE114" s="44">
        <f t="shared" si="4"/>
        <v>0.5</v>
      </c>
      <c r="BF114" s="45">
        <f t="shared" si="4"/>
        <v>3.0409090909090906</v>
      </c>
      <c r="BG114" s="46">
        <f t="shared" si="4"/>
        <v>3.801136363636363</v>
      </c>
      <c r="BH114" s="25"/>
      <c r="BI114" s="23"/>
    </row>
    <row r="115" spans="53:61" ht="15">
      <c r="BA115" s="22"/>
      <c r="BB115" s="13" t="s">
        <v>5</v>
      </c>
      <c r="BC115" s="14">
        <v>40</v>
      </c>
      <c r="BD115" s="43">
        <f t="shared" si="3"/>
        <v>40</v>
      </c>
      <c r="BE115" s="44">
        <f t="shared" si="4"/>
        <v>1</v>
      </c>
      <c r="BF115" s="45">
        <f t="shared" si="4"/>
        <v>486.5454545454545</v>
      </c>
      <c r="BG115" s="46">
        <f t="shared" si="4"/>
        <v>973.090909090909</v>
      </c>
      <c r="BH115" s="25"/>
      <c r="BI115" s="23"/>
    </row>
    <row r="116" spans="53:61" ht="15">
      <c r="BA116" s="22"/>
      <c r="BB116" s="13" t="s">
        <v>6</v>
      </c>
      <c r="BC116" s="14">
        <v>0.2</v>
      </c>
      <c r="BD116" s="43">
        <f t="shared" si="3"/>
        <v>0.2</v>
      </c>
      <c r="BE116" s="44">
        <f t="shared" si="4"/>
        <v>0.5</v>
      </c>
      <c r="BF116" s="45">
        <f t="shared" si="4"/>
        <v>1.2163636363636363</v>
      </c>
      <c r="BG116" s="46">
        <f t="shared" si="4"/>
        <v>3.0409090909090906</v>
      </c>
      <c r="BH116" s="25"/>
      <c r="BI116" s="23"/>
    </row>
    <row r="117" spans="53:61" ht="15">
      <c r="BA117" s="22"/>
      <c r="BB117" s="13" t="s">
        <v>7</v>
      </c>
      <c r="BC117" s="14">
        <v>30</v>
      </c>
      <c r="BD117" s="43">
        <f t="shared" si="3"/>
        <v>30</v>
      </c>
      <c r="BE117" s="44">
        <f t="shared" si="4"/>
        <v>0.75</v>
      </c>
      <c r="BF117" s="45">
        <f t="shared" si="4"/>
        <v>273.68181818181813</v>
      </c>
      <c r="BG117" s="46">
        <f t="shared" si="4"/>
        <v>547.3636363636363</v>
      </c>
      <c r="BH117" s="25"/>
      <c r="BI117" s="23"/>
    </row>
    <row r="118" spans="53:61" ht="8.25" customHeight="1">
      <c r="BA118" s="22"/>
      <c r="BB118" s="25"/>
      <c r="BC118" s="27"/>
      <c r="BD118" s="28"/>
      <c r="BE118" s="29"/>
      <c r="BF118" s="30"/>
      <c r="BG118" s="30"/>
      <c r="BH118" s="25"/>
      <c r="BI118" s="23"/>
    </row>
    <row r="119" spans="53:61" ht="26.25" thickBot="1">
      <c r="BA119" s="22"/>
      <c r="BB119" s="25"/>
      <c r="BC119" s="34" t="s">
        <v>15</v>
      </c>
      <c r="BD119" s="35"/>
      <c r="BE119" s="35" t="s">
        <v>16</v>
      </c>
      <c r="BF119" s="36" t="s">
        <v>17</v>
      </c>
      <c r="BG119" s="37" t="s">
        <v>21</v>
      </c>
      <c r="BH119" s="25"/>
      <c r="BI119" s="23"/>
    </row>
    <row r="120" spans="53:61" ht="15.75" thickTop="1">
      <c r="BA120" s="22"/>
      <c r="BB120" s="25"/>
      <c r="BC120" s="38" t="str">
        <f aca="true" t="shared" si="5" ref="BC120:BC126">B40</f>
        <v>Cobalt carbonate</v>
      </c>
      <c r="BD120" s="17"/>
      <c r="BE120" s="18">
        <f>D40</f>
        <v>1.1763671531563213</v>
      </c>
      <c r="BF120" s="19">
        <f aca="true" t="shared" si="6" ref="BF120:BG126">E40</f>
        <v>2.0704062558081257E-05</v>
      </c>
      <c r="BG120" s="39">
        <f t="shared" si="6"/>
        <v>0.041408125116162514</v>
      </c>
      <c r="BH120" s="25"/>
      <c r="BI120" s="23"/>
    </row>
    <row r="121" spans="53:61" ht="15">
      <c r="BA121" s="22"/>
      <c r="BB121" s="25"/>
      <c r="BC121" s="38" t="str">
        <f t="shared" si="5"/>
        <v>Copper sulfate</v>
      </c>
      <c r="BD121" s="17"/>
      <c r="BE121" s="18">
        <f aca="true" t="shared" si="7" ref="BE121:BE126">D41</f>
        <v>364.9090909090909</v>
      </c>
      <c r="BF121" s="19">
        <f t="shared" si="6"/>
        <v>0.006422400205516806</v>
      </c>
      <c r="BG121" s="39">
        <f t="shared" si="6"/>
        <v>12.844800411033612</v>
      </c>
      <c r="BH121" s="25"/>
      <c r="BI121" s="23"/>
    </row>
    <row r="122" spans="53:61" ht="15">
      <c r="BA122" s="22"/>
      <c r="BB122" s="25"/>
      <c r="BC122" s="38" t="str">
        <f t="shared" si="5"/>
        <v>EDDI</v>
      </c>
      <c r="BD122" s="17"/>
      <c r="BE122" s="18">
        <f t="shared" si="7"/>
        <v>3.62012987012987</v>
      </c>
      <c r="BF122" s="19">
        <f t="shared" si="6"/>
        <v>6.371428775314292E-05</v>
      </c>
      <c r="BG122" s="39">
        <f t="shared" si="6"/>
        <v>0.12742857550628583</v>
      </c>
      <c r="BH122" s="25"/>
      <c r="BI122" s="23"/>
    </row>
    <row r="123" spans="53:61" ht="15">
      <c r="BA123" s="22"/>
      <c r="BB123" s="25"/>
      <c r="BC123" s="38" t="str">
        <f t="shared" si="5"/>
        <v>Manganese monoxide</v>
      </c>
      <c r="BD123" s="17"/>
      <c r="BE123" s="18">
        <f t="shared" si="7"/>
        <v>1351.5151515151515</v>
      </c>
      <c r="BF123" s="19">
        <f t="shared" si="6"/>
        <v>0.023786667427840025</v>
      </c>
      <c r="BG123" s="39">
        <f t="shared" si="6"/>
        <v>47.57333485568005</v>
      </c>
      <c r="BH123" s="25"/>
      <c r="BI123" s="23"/>
    </row>
    <row r="124" spans="53:61" ht="15">
      <c r="BA124" s="22"/>
      <c r="BB124" s="25"/>
      <c r="BC124" s="38" t="str">
        <f t="shared" si="5"/>
        <v>Sodium selenate</v>
      </c>
      <c r="BD124" s="17"/>
      <c r="BE124" s="18">
        <f t="shared" si="7"/>
        <v>3.0409090909090906</v>
      </c>
      <c r="BF124" s="19">
        <f t="shared" si="6"/>
        <v>5.352000171264005E-05</v>
      </c>
      <c r="BG124" s="39">
        <f t="shared" si="6"/>
        <v>0.1070400034252801</v>
      </c>
      <c r="BH124" s="25"/>
      <c r="BI124" s="23"/>
    </row>
    <row r="125" spans="53:61" ht="15">
      <c r="BA125" s="22"/>
      <c r="BB125" s="25"/>
      <c r="BC125" s="38" t="str">
        <f t="shared" si="5"/>
        <v>Zinc carbonate</v>
      </c>
      <c r="BD125" s="17"/>
      <c r="BE125" s="18">
        <f t="shared" si="7"/>
        <v>814.5292207792206</v>
      </c>
      <c r="BF125" s="19">
        <f t="shared" si="6"/>
        <v>0.014335714744457155</v>
      </c>
      <c r="BG125" s="39">
        <f t="shared" si="6"/>
        <v>28.67142948891431</v>
      </c>
      <c r="BH125" s="25"/>
      <c r="BI125" s="23"/>
    </row>
    <row r="126" spans="53:61" ht="15">
      <c r="BA126" s="22"/>
      <c r="BB126" s="25"/>
      <c r="BC126" s="85" t="str">
        <f t="shared" si="5"/>
        <v>Salt</v>
      </c>
      <c r="BD126" s="86"/>
      <c r="BE126" s="40">
        <f t="shared" si="7"/>
        <v>54279.38913068234</v>
      </c>
      <c r="BF126" s="41">
        <f t="shared" si="6"/>
        <v>0.9553172792701622</v>
      </c>
      <c r="BG126" s="42">
        <f t="shared" si="6"/>
        <v>1910.6345585403244</v>
      </c>
      <c r="BH126" s="25"/>
      <c r="BI126" s="23"/>
    </row>
    <row r="127" spans="53:61" ht="6" customHeight="1">
      <c r="BA127" s="22"/>
      <c r="BB127" s="25"/>
      <c r="BC127" s="25"/>
      <c r="BD127" s="25"/>
      <c r="BE127" s="25"/>
      <c r="BF127" s="25"/>
      <c r="BG127" s="16"/>
      <c r="BH127" s="25"/>
      <c r="BI127" s="23"/>
    </row>
    <row r="128" spans="53:61" ht="15">
      <c r="BA128" s="22"/>
      <c r="BB128" s="25"/>
      <c r="BC128" s="25"/>
      <c r="BD128" s="24"/>
      <c r="BE128" s="24"/>
      <c r="BF128" s="24"/>
      <c r="BG128" s="48" t="s">
        <v>29</v>
      </c>
      <c r="BH128" s="48" t="s">
        <v>30</v>
      </c>
      <c r="BI128" s="15"/>
    </row>
    <row r="129" spans="53:61" ht="30.75" customHeight="1">
      <c r="BA129" s="22"/>
      <c r="BB129" s="83" t="s">
        <v>31</v>
      </c>
      <c r="BC129" s="84"/>
      <c r="BD129" s="84"/>
      <c r="BE129" s="84"/>
      <c r="BF129" s="84"/>
      <c r="BG129" s="49">
        <f>G49</f>
        <v>0.0017750366218236178</v>
      </c>
      <c r="BH129" s="50">
        <f>H49</f>
        <v>0</v>
      </c>
      <c r="BI129" s="23"/>
    </row>
    <row r="130" spans="53:61" ht="31.5" customHeight="1">
      <c r="BA130" s="22"/>
      <c r="BB130" s="83" t="s">
        <v>32</v>
      </c>
      <c r="BC130" s="84"/>
      <c r="BD130" s="84"/>
      <c r="BE130" s="84"/>
      <c r="BF130" s="84"/>
      <c r="BG130" s="49">
        <f aca="true" t="shared" si="8" ref="BG130:BH132">G50</f>
        <v>0.0009342272047832587</v>
      </c>
      <c r="BH130" s="50">
        <f t="shared" si="8"/>
        <v>0.0008641659192825113</v>
      </c>
      <c r="BI130" s="23"/>
    </row>
    <row r="131" spans="53:61" ht="30" customHeight="1">
      <c r="BA131" s="22"/>
      <c r="BB131" s="83" t="s">
        <v>33</v>
      </c>
      <c r="BC131" s="84"/>
      <c r="BD131" s="84"/>
      <c r="BE131" s="84"/>
      <c r="BF131" s="84"/>
      <c r="BG131" s="49">
        <f t="shared" si="8"/>
        <v>0.000747383408071749</v>
      </c>
      <c r="BH131" s="50">
        <f t="shared" si="8"/>
        <v>0.0009809402092675636</v>
      </c>
      <c r="BI131" s="23"/>
    </row>
    <row r="132" spans="53:61" ht="44.25" customHeight="1">
      <c r="BA132" s="26"/>
      <c r="BB132" s="83" t="s">
        <v>34</v>
      </c>
      <c r="BC132" s="84"/>
      <c r="BD132" s="84"/>
      <c r="BE132" s="84"/>
      <c r="BF132" s="84"/>
      <c r="BG132" s="49">
        <f t="shared" si="8"/>
        <v>0.0005605396113602392</v>
      </c>
      <c r="BH132" s="50">
        <f t="shared" si="8"/>
        <v>0.0005184962630792228</v>
      </c>
      <c r="BI132" s="47"/>
    </row>
  </sheetData>
  <sheetProtection password="CC65" sheet="1" objects="1" scenarios="1"/>
  <mergeCells count="37">
    <mergeCell ref="B50:F50"/>
    <mergeCell ref="B51:F51"/>
    <mergeCell ref="D54:H54"/>
    <mergeCell ref="B52:F52"/>
    <mergeCell ref="B1:H1"/>
    <mergeCell ref="B2:H2"/>
    <mergeCell ref="BB103:BH103"/>
    <mergeCell ref="BB104:BH104"/>
    <mergeCell ref="B45:C45"/>
    <mergeCell ref="B46:C46"/>
    <mergeCell ref="B41:C41"/>
    <mergeCell ref="B42:C42"/>
    <mergeCell ref="B43:C43"/>
    <mergeCell ref="B44:C44"/>
    <mergeCell ref="B3:H3"/>
    <mergeCell ref="B4:H4"/>
    <mergeCell ref="B6:H6"/>
    <mergeCell ref="B7:H7"/>
    <mergeCell ref="B8:H8"/>
    <mergeCell ref="BB100:BH100"/>
    <mergeCell ref="BB101:BH101"/>
    <mergeCell ref="BB102:BH102"/>
    <mergeCell ref="B40:C40"/>
    <mergeCell ref="B10:D10"/>
    <mergeCell ref="B11:D11"/>
    <mergeCell ref="B12:D12"/>
    <mergeCell ref="B39:C39"/>
    <mergeCell ref="B49:F49"/>
    <mergeCell ref="BC126:BD126"/>
    <mergeCell ref="BB105:BH105"/>
    <mergeCell ref="BB107:BD107"/>
    <mergeCell ref="BB108:BD108"/>
    <mergeCell ref="BB109:BD109"/>
    <mergeCell ref="BB129:BF129"/>
    <mergeCell ref="BB130:BF130"/>
    <mergeCell ref="BB131:BF131"/>
    <mergeCell ref="BB132:BF132"/>
  </mergeCells>
  <printOptions/>
  <pageMargins left="0.75" right="0.75" top="1" bottom="1" header="0.5" footer="0.5"/>
  <pageSetup horizontalDpi="300" verticalDpi="300" orientation="portrait" r:id="rId3"/>
  <legacyDrawing r:id="rId2"/>
  <oleObjects>
    <oleObject progId="Document" dvAspect="DVASPECT_ICON" shapeId="220752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Commercial Agriculture Beef Focus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L. Larson, DVM, PhD, ACT</dc:creator>
  <cp:keywords/>
  <dc:description/>
  <cp:lastModifiedBy>rlarson</cp:lastModifiedBy>
  <cp:lastPrinted>2002-05-06T15:15:06Z</cp:lastPrinted>
  <dcterms:created xsi:type="dcterms:W3CDTF">2000-02-17T19:29:48Z</dcterms:created>
  <dcterms:modified xsi:type="dcterms:W3CDTF">2006-07-25T13:47:27Z</dcterms:modified>
  <cp:category/>
  <cp:version/>
  <cp:contentType/>
  <cp:contentStatus/>
</cp:coreProperties>
</file>